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30"/>
  <workbookPr/>
  <mc:AlternateContent xmlns:mc="http://schemas.openxmlformats.org/markup-compatibility/2006">
    <mc:Choice Requires="x15">
      <x15ac:absPath xmlns:x15ac="http://schemas.microsoft.com/office/spreadsheetml/2010/11/ac" url="https://uniempresarial.sharepoint.com/sites/prueba757/Documentos compartidos/310-Dirección de Relacionamiento Empresarial/310-86 Proyectos especiales/310-86-2 Propuestas aprobadas/2025/Contrato 17455/Comercial/Documentos internos/"/>
    </mc:Choice>
  </mc:AlternateContent>
  <xr:revisionPtr revIDLastSave="0" documentId="8_{84E5C393-7E25-496F-8C1E-6F9F50D9E838}" xr6:coauthVersionLast="47" xr6:coauthVersionMax="47" xr10:uidLastSave="{00000000-0000-0000-0000-000000000000}"/>
  <bookViews>
    <workbookView xWindow="19080" yWindow="-120" windowWidth="29040" windowHeight="15840" firstSheet="9" activeTab="9" xr2:uid="{00000000-000D-0000-FFFF-FFFF00000000}"/>
  </bookViews>
  <sheets>
    <sheet name="propuesta enviada" sheetId="1" state="hidden" r:id="rId1"/>
    <sheet name="propuesta ajustada" sheetId="2" state="hidden" r:id="rId2"/>
    <sheet name="Hoja1" sheetId="3" state="hidden" r:id="rId3"/>
    <sheet name="RESUMEN CONTRATO" sheetId="4" r:id="rId4"/>
    <sheet name="Control general - Abril" sheetId="13" r:id="rId5"/>
    <sheet name="Programación gestoras (actualiz" sheetId="11" r:id="rId6"/>
    <sheet name="Programación gestoras" sheetId="9" r:id="rId7"/>
    <sheet name="Formato orden de servicio" sheetId="12" r:id="rId8"/>
    <sheet name="CONTROL HORAS CONSULTORES" sheetId="5" r:id="rId9"/>
    <sheet name="Contro Horas consultores (actua" sheetId="14" r:id="rId10"/>
    <sheet name="Consultor - Informe" sheetId="7" r:id="rId11"/>
    <sheet name="Clasificación pagos" sheetId="6" r:id="rId12"/>
    <sheet name="CCB - INFORME" sheetId="8" r:id="rId13"/>
    <sheet name="Control de horas" sheetId="10" r:id="rId1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12" i="14" l="1"/>
  <c r="AN111" i="14"/>
  <c r="AP111" i="14" s="1"/>
  <c r="AR111" i="14" s="1"/>
  <c r="AM111" i="14"/>
  <c r="AJ111" i="14"/>
  <c r="AG111" i="14"/>
  <c r="AD111" i="14"/>
  <c r="AA111" i="14"/>
  <c r="X111" i="14"/>
  <c r="U111" i="14"/>
  <c r="R111" i="14"/>
  <c r="H111" i="14"/>
  <c r="G111" i="14"/>
  <c r="AN110" i="14"/>
  <c r="AP110" i="14" s="1"/>
  <c r="AM110" i="14"/>
  <c r="AJ110" i="14"/>
  <c r="AG110" i="14"/>
  <c r="AD110" i="14"/>
  <c r="AA110" i="14"/>
  <c r="X110" i="14"/>
  <c r="U110" i="14"/>
  <c r="R110" i="14"/>
  <c r="AN109" i="14"/>
  <c r="AM109" i="14"/>
  <c r="AJ109" i="14"/>
  <c r="AG109" i="14"/>
  <c r="AD109" i="14"/>
  <c r="AA109" i="14"/>
  <c r="X109" i="14"/>
  <c r="U109" i="14"/>
  <c r="R109" i="14"/>
  <c r="AN108" i="14"/>
  <c r="AP108" i="14" s="1"/>
  <c r="AR108" i="14" s="1"/>
  <c r="AM108" i="14"/>
  <c r="AJ108" i="14"/>
  <c r="AG108" i="14"/>
  <c r="AD108" i="14"/>
  <c r="AA108" i="14"/>
  <c r="X108" i="14"/>
  <c r="U108" i="14"/>
  <c r="R108" i="14"/>
  <c r="G108" i="14"/>
  <c r="AS107" i="14"/>
  <c r="AR107" i="14"/>
  <c r="AN107" i="14"/>
  <c r="AM107" i="14"/>
  <c r="AJ107" i="14"/>
  <c r="AG107" i="14"/>
  <c r="AD107" i="14"/>
  <c r="AA107" i="14"/>
  <c r="X107" i="14"/>
  <c r="U107" i="14"/>
  <c r="R107" i="14"/>
  <c r="AN106" i="14"/>
  <c r="AP106" i="14" s="1"/>
  <c r="AR106" i="14" s="1"/>
  <c r="AM106" i="14"/>
  <c r="AJ106" i="14"/>
  <c r="AG106" i="14"/>
  <c r="AD106" i="14"/>
  <c r="AA106" i="14"/>
  <c r="X106" i="14"/>
  <c r="U106" i="14"/>
  <c r="R106" i="14"/>
  <c r="H106" i="14"/>
  <c r="G106" i="14"/>
  <c r="AN105" i="14"/>
  <c r="AM105" i="14"/>
  <c r="AJ105" i="14"/>
  <c r="AG105" i="14"/>
  <c r="AD105" i="14"/>
  <c r="AA105" i="14"/>
  <c r="X105" i="14"/>
  <c r="U105" i="14"/>
  <c r="R105" i="14"/>
  <c r="AN104" i="14"/>
  <c r="AM104" i="14"/>
  <c r="AJ104" i="14"/>
  <c r="AG104" i="14"/>
  <c r="AD104" i="14"/>
  <c r="AA104" i="14"/>
  <c r="X104" i="14"/>
  <c r="U104" i="14"/>
  <c r="R104" i="14"/>
  <c r="H104" i="14"/>
  <c r="H105" i="14" s="1"/>
  <c r="AN103" i="14"/>
  <c r="AP103" i="14" s="1"/>
  <c r="AR103" i="14" s="1"/>
  <c r="AM103" i="14"/>
  <c r="AJ103" i="14"/>
  <c r="AG103" i="14"/>
  <c r="AD103" i="14"/>
  <c r="AA103" i="14"/>
  <c r="X103" i="14"/>
  <c r="U103" i="14"/>
  <c r="R103" i="14"/>
  <c r="G103" i="14"/>
  <c r="AN102" i="14"/>
  <c r="AM102" i="14"/>
  <c r="AJ102" i="14"/>
  <c r="AG102" i="14"/>
  <c r="AD102" i="14"/>
  <c r="AA102" i="14"/>
  <c r="X102" i="14"/>
  <c r="U102" i="14"/>
  <c r="R102" i="14"/>
  <c r="AN101" i="14"/>
  <c r="AM101" i="14"/>
  <c r="AJ101" i="14"/>
  <c r="AG101" i="14"/>
  <c r="AD101" i="14"/>
  <c r="AA101" i="14"/>
  <c r="X101" i="14"/>
  <c r="U101" i="14"/>
  <c r="R101" i="14"/>
  <c r="AN100" i="14"/>
  <c r="AM100" i="14"/>
  <c r="AJ100" i="14"/>
  <c r="AG100" i="14"/>
  <c r="AD100" i="14"/>
  <c r="AA100" i="14"/>
  <c r="X100" i="14"/>
  <c r="U100" i="14"/>
  <c r="R100" i="14"/>
  <c r="AN99" i="14"/>
  <c r="AP99" i="14" s="1"/>
  <c r="AR99" i="14" s="1"/>
  <c r="AM99" i="14"/>
  <c r="AJ99" i="14"/>
  <c r="AG99" i="14"/>
  <c r="AD99" i="14"/>
  <c r="AA99" i="14"/>
  <c r="X99" i="14"/>
  <c r="U99" i="14"/>
  <c r="R99" i="14"/>
  <c r="H99" i="14"/>
  <c r="G99" i="14"/>
  <c r="AN98" i="14"/>
  <c r="AP98" i="14" s="1"/>
  <c r="AR98" i="14" s="1"/>
  <c r="AM98" i="14"/>
  <c r="AJ98" i="14"/>
  <c r="AG98" i="14"/>
  <c r="AD98" i="14"/>
  <c r="AA98" i="14"/>
  <c r="X98" i="14"/>
  <c r="U98" i="14"/>
  <c r="R98" i="14"/>
  <c r="H98" i="14"/>
  <c r="G98" i="14"/>
  <c r="AN97" i="14"/>
  <c r="AM97" i="14"/>
  <c r="AO97" i="14" s="1"/>
  <c r="AN96" i="14"/>
  <c r="AP96" i="14" s="1"/>
  <c r="AR96" i="14" s="1"/>
  <c r="AM96" i="14"/>
  <c r="AJ96" i="14"/>
  <c r="AG96" i="14"/>
  <c r="AD96" i="14"/>
  <c r="AA96" i="14"/>
  <c r="X96" i="14"/>
  <c r="U96" i="14"/>
  <c r="R96" i="14"/>
  <c r="H96" i="14"/>
  <c r="G96" i="14"/>
  <c r="AN95" i="14"/>
  <c r="AM95" i="14"/>
  <c r="AO95" i="14" s="1"/>
  <c r="AN94" i="14"/>
  <c r="AM94" i="14"/>
  <c r="AO94" i="14" s="1"/>
  <c r="AN93" i="14"/>
  <c r="AP93" i="14" s="1"/>
  <c r="AR93" i="14" s="1"/>
  <c r="AM93" i="14"/>
  <c r="AJ93" i="14"/>
  <c r="AG93" i="14"/>
  <c r="AD93" i="14"/>
  <c r="AA93" i="14"/>
  <c r="X93" i="14"/>
  <c r="U93" i="14"/>
  <c r="R93" i="14"/>
  <c r="H93" i="14"/>
  <c r="G93" i="14"/>
  <c r="AN92" i="14"/>
  <c r="AM92" i="14"/>
  <c r="AJ92" i="14"/>
  <c r="AG92" i="14"/>
  <c r="AD92" i="14"/>
  <c r="AA92" i="14"/>
  <c r="X92" i="14"/>
  <c r="U92" i="14"/>
  <c r="R92" i="14"/>
  <c r="AN91" i="14"/>
  <c r="AM91" i="14"/>
  <c r="AJ91" i="14"/>
  <c r="AG91" i="14"/>
  <c r="AD91" i="14"/>
  <c r="AA91" i="14"/>
  <c r="X91" i="14"/>
  <c r="U91" i="14"/>
  <c r="R91" i="14"/>
  <c r="AN90" i="14"/>
  <c r="AM90" i="14"/>
  <c r="AJ90" i="14"/>
  <c r="AG90" i="14"/>
  <c r="AD90" i="14"/>
  <c r="AA90" i="14"/>
  <c r="X90" i="14"/>
  <c r="U90" i="14"/>
  <c r="R90" i="14"/>
  <c r="AN89" i="14"/>
  <c r="AM89" i="14"/>
  <c r="AJ89" i="14"/>
  <c r="AG89" i="14"/>
  <c r="AD89" i="14"/>
  <c r="AA89" i="14"/>
  <c r="X89" i="14"/>
  <c r="U89" i="14"/>
  <c r="R89" i="14"/>
  <c r="AN88" i="14"/>
  <c r="AM88" i="14"/>
  <c r="AJ88" i="14"/>
  <c r="AG88" i="14"/>
  <c r="AD88" i="14"/>
  <c r="AA88" i="14"/>
  <c r="X88" i="14"/>
  <c r="U88" i="14"/>
  <c r="R88" i="14"/>
  <c r="AN87" i="14"/>
  <c r="AM87" i="14"/>
  <c r="AJ87" i="14"/>
  <c r="AG87" i="14"/>
  <c r="AD87" i="14"/>
  <c r="AA87" i="14"/>
  <c r="X87" i="14"/>
  <c r="U87" i="14"/>
  <c r="R87" i="14"/>
  <c r="AN86" i="14"/>
  <c r="AP86" i="14" s="1"/>
  <c r="AM86" i="14"/>
  <c r="AJ86" i="14"/>
  <c r="AG86" i="14"/>
  <c r="AD86" i="14"/>
  <c r="AA86" i="14"/>
  <c r="X86" i="14"/>
  <c r="U86" i="14"/>
  <c r="R86" i="14"/>
  <c r="D86" i="14"/>
  <c r="AN85" i="14"/>
  <c r="AM85" i="14"/>
  <c r="AJ85" i="14"/>
  <c r="AG85" i="14"/>
  <c r="AD85" i="14"/>
  <c r="AA85" i="14"/>
  <c r="X85" i="14"/>
  <c r="U85" i="14"/>
  <c r="R85" i="14"/>
  <c r="AN84" i="14"/>
  <c r="AM84" i="14"/>
  <c r="AJ84" i="14"/>
  <c r="AG84" i="14"/>
  <c r="AD84" i="14"/>
  <c r="AA84" i="14"/>
  <c r="X84" i="14"/>
  <c r="U84" i="14"/>
  <c r="R84" i="14"/>
  <c r="AN83" i="14"/>
  <c r="AM83" i="14"/>
  <c r="AJ83" i="14"/>
  <c r="AG83" i="14"/>
  <c r="AD83" i="14"/>
  <c r="AA83" i="14"/>
  <c r="X83" i="14"/>
  <c r="U83" i="14"/>
  <c r="R83" i="14"/>
  <c r="AN82" i="14"/>
  <c r="AM82" i="14"/>
  <c r="AJ82" i="14"/>
  <c r="AG82" i="14"/>
  <c r="AD82" i="14"/>
  <c r="AA82" i="14"/>
  <c r="X82" i="14"/>
  <c r="U82" i="14"/>
  <c r="R82" i="14"/>
  <c r="AN81" i="14"/>
  <c r="AM81" i="14"/>
  <c r="AJ81" i="14"/>
  <c r="AG81" i="14"/>
  <c r="AD81" i="14"/>
  <c r="AA81" i="14"/>
  <c r="X81" i="14"/>
  <c r="U81" i="14"/>
  <c r="R81" i="14"/>
  <c r="AN80" i="14"/>
  <c r="AM80" i="14"/>
  <c r="AJ80" i="14"/>
  <c r="AG80" i="14"/>
  <c r="AD80" i="14"/>
  <c r="AA80" i="14"/>
  <c r="X80" i="14"/>
  <c r="U80" i="14"/>
  <c r="R80" i="14"/>
  <c r="AN79" i="14"/>
  <c r="AM79" i="14"/>
  <c r="AJ79" i="14"/>
  <c r="AG79" i="14"/>
  <c r="AD79" i="14"/>
  <c r="AA79" i="14"/>
  <c r="X79" i="14"/>
  <c r="U79" i="14"/>
  <c r="R79" i="14"/>
  <c r="AN78" i="14"/>
  <c r="AP78" i="14" s="1"/>
  <c r="AM78" i="14"/>
  <c r="AJ78" i="14"/>
  <c r="AG78" i="14"/>
  <c r="AD78" i="14"/>
  <c r="AA78" i="14"/>
  <c r="X78" i="14"/>
  <c r="U78" i="14"/>
  <c r="R78" i="14"/>
  <c r="D78" i="14"/>
  <c r="AN77" i="14"/>
  <c r="AM77" i="14"/>
  <c r="AJ77" i="14"/>
  <c r="AG77" i="14"/>
  <c r="AD77" i="14"/>
  <c r="AA77" i="14"/>
  <c r="X77" i="14"/>
  <c r="U77" i="14"/>
  <c r="R77" i="14"/>
  <c r="AN76" i="14"/>
  <c r="AM76" i="14"/>
  <c r="AJ76" i="14"/>
  <c r="AG76" i="14"/>
  <c r="AD76" i="14"/>
  <c r="AA76" i="14"/>
  <c r="X76" i="14"/>
  <c r="U76" i="14"/>
  <c r="R76" i="14"/>
  <c r="AN75" i="14"/>
  <c r="AM75" i="14"/>
  <c r="AJ75" i="14"/>
  <c r="AG75" i="14"/>
  <c r="AD75" i="14"/>
  <c r="AA75" i="14"/>
  <c r="X75" i="14"/>
  <c r="U75" i="14"/>
  <c r="R75" i="14"/>
  <c r="AN74" i="14"/>
  <c r="AM74" i="14"/>
  <c r="AJ74" i="14"/>
  <c r="AG74" i="14"/>
  <c r="AD74" i="14"/>
  <c r="AA74" i="14"/>
  <c r="X74" i="14"/>
  <c r="U74" i="14"/>
  <c r="R74" i="14"/>
  <c r="AN73" i="14"/>
  <c r="AP73" i="14" s="1"/>
  <c r="AM73" i="14"/>
  <c r="AJ73" i="14"/>
  <c r="AG73" i="14"/>
  <c r="AD73" i="14"/>
  <c r="AA73" i="14"/>
  <c r="X73" i="14"/>
  <c r="U73" i="14"/>
  <c r="R73" i="14"/>
  <c r="D73" i="14"/>
  <c r="AN72" i="14"/>
  <c r="AM72" i="14"/>
  <c r="AJ72" i="14"/>
  <c r="AG72" i="14"/>
  <c r="AD72" i="14"/>
  <c r="AA72" i="14"/>
  <c r="X72" i="14"/>
  <c r="U72" i="14"/>
  <c r="R72" i="14"/>
  <c r="AN71" i="14"/>
  <c r="AM71" i="14"/>
  <c r="AJ71" i="14"/>
  <c r="AG71" i="14"/>
  <c r="AD71" i="14"/>
  <c r="AA71" i="14"/>
  <c r="X71" i="14"/>
  <c r="U71" i="14"/>
  <c r="R71" i="14"/>
  <c r="AN70" i="14"/>
  <c r="AP70" i="14" s="1"/>
  <c r="AR70" i="14" s="1"/>
  <c r="AM70" i="14"/>
  <c r="AJ70" i="14"/>
  <c r="AG70" i="14"/>
  <c r="AD70" i="14"/>
  <c r="AA70" i="14"/>
  <c r="X70" i="14"/>
  <c r="U70" i="14"/>
  <c r="R70" i="14"/>
  <c r="H70" i="14"/>
  <c r="G70" i="14"/>
  <c r="AN69" i="14"/>
  <c r="AM69" i="14"/>
  <c r="AJ69" i="14"/>
  <c r="AG69" i="14"/>
  <c r="AD69" i="14"/>
  <c r="AA69" i="14"/>
  <c r="X69" i="14"/>
  <c r="U69" i="14"/>
  <c r="R69" i="14"/>
  <c r="AN68" i="14"/>
  <c r="AM68" i="14"/>
  <c r="AJ68" i="14"/>
  <c r="AG68" i="14"/>
  <c r="AD68" i="14"/>
  <c r="AA68" i="14"/>
  <c r="X68" i="14"/>
  <c r="U68" i="14"/>
  <c r="R68" i="14"/>
  <c r="AN67" i="14"/>
  <c r="AM67" i="14"/>
  <c r="AJ67" i="14"/>
  <c r="AG67" i="14"/>
  <c r="AD67" i="14"/>
  <c r="AA67" i="14"/>
  <c r="X67" i="14"/>
  <c r="U67" i="14"/>
  <c r="R67" i="14"/>
  <c r="AN66" i="14"/>
  <c r="AM66" i="14"/>
  <c r="AJ66" i="14"/>
  <c r="AG66" i="14"/>
  <c r="AD66" i="14"/>
  <c r="AA66" i="14"/>
  <c r="X66" i="14"/>
  <c r="U66" i="14"/>
  <c r="R66" i="14"/>
  <c r="AN65" i="14"/>
  <c r="AM65" i="14"/>
  <c r="AJ65" i="14"/>
  <c r="AG65" i="14"/>
  <c r="AD65" i="14"/>
  <c r="AA65" i="14"/>
  <c r="X65" i="14"/>
  <c r="U65" i="14"/>
  <c r="R65" i="14"/>
  <c r="AN64" i="14"/>
  <c r="AP64" i="14" s="1"/>
  <c r="AM64" i="14"/>
  <c r="AJ64" i="14"/>
  <c r="AG64" i="14"/>
  <c r="AD64" i="14"/>
  <c r="AA64" i="14"/>
  <c r="X64" i="14"/>
  <c r="U64" i="14"/>
  <c r="R64" i="14"/>
  <c r="D64" i="14"/>
  <c r="AN63" i="14"/>
  <c r="AM63" i="14"/>
  <c r="AJ63" i="14"/>
  <c r="AG63" i="14"/>
  <c r="AD63" i="14"/>
  <c r="AA63" i="14"/>
  <c r="X63" i="14"/>
  <c r="U63" i="14"/>
  <c r="R63" i="14"/>
  <c r="AN62" i="14"/>
  <c r="AM62" i="14"/>
  <c r="AJ62" i="14"/>
  <c r="AG62" i="14"/>
  <c r="AD62" i="14"/>
  <c r="AA62" i="14"/>
  <c r="X62" i="14"/>
  <c r="U62" i="14"/>
  <c r="R62" i="14"/>
  <c r="AN61" i="14"/>
  <c r="AM61" i="14"/>
  <c r="AJ61" i="14"/>
  <c r="AG61" i="14"/>
  <c r="AD61" i="14"/>
  <c r="AA61" i="14"/>
  <c r="X61" i="14"/>
  <c r="U61" i="14"/>
  <c r="R61" i="14"/>
  <c r="AN60" i="14"/>
  <c r="AM60" i="14"/>
  <c r="AJ60" i="14"/>
  <c r="AG60" i="14"/>
  <c r="AD60" i="14"/>
  <c r="AA60" i="14"/>
  <c r="X60" i="14"/>
  <c r="U60" i="14"/>
  <c r="R60" i="14"/>
  <c r="AN59" i="14"/>
  <c r="AP59" i="14" s="1"/>
  <c r="AM59" i="14"/>
  <c r="AJ59" i="14"/>
  <c r="AG59" i="14"/>
  <c r="AD59" i="14"/>
  <c r="AA59" i="14"/>
  <c r="X59" i="14"/>
  <c r="U59" i="14"/>
  <c r="R59" i="14"/>
  <c r="D59" i="14"/>
  <c r="AN58" i="14"/>
  <c r="AM58" i="14"/>
  <c r="AJ58" i="14"/>
  <c r="AG58" i="14"/>
  <c r="AD58" i="14"/>
  <c r="AA58" i="14"/>
  <c r="X58" i="14"/>
  <c r="U58" i="14"/>
  <c r="R58" i="14"/>
  <c r="AN57" i="14"/>
  <c r="AM57" i="14"/>
  <c r="AJ57" i="14"/>
  <c r="AG57" i="14"/>
  <c r="AD57" i="14"/>
  <c r="AA57" i="14"/>
  <c r="X57" i="14"/>
  <c r="U57" i="14"/>
  <c r="R57" i="14"/>
  <c r="AN54" i="14"/>
  <c r="AP54" i="14" s="1"/>
  <c r="AM54" i="14"/>
  <c r="AJ54" i="14"/>
  <c r="AG54" i="14"/>
  <c r="AD54" i="14"/>
  <c r="AA54" i="14"/>
  <c r="X54" i="14"/>
  <c r="U54" i="14"/>
  <c r="R54" i="14"/>
  <c r="D54" i="14"/>
  <c r="AN53" i="14"/>
  <c r="AJ53" i="14"/>
  <c r="AO53" i="14" s="1"/>
  <c r="AN52" i="14"/>
  <c r="AJ52" i="14"/>
  <c r="AO52" i="14" s="1"/>
  <c r="AN51" i="14"/>
  <c r="AP51" i="14" s="1"/>
  <c r="AR51" i="14" s="1"/>
  <c r="AM51" i="14"/>
  <c r="AJ51" i="14"/>
  <c r="AG51" i="14"/>
  <c r="AD51" i="14"/>
  <c r="AA51" i="14"/>
  <c r="X51" i="14"/>
  <c r="U51" i="14"/>
  <c r="R51" i="14"/>
  <c r="H51" i="14"/>
  <c r="G51" i="14"/>
  <c r="AN50" i="14"/>
  <c r="AM50" i="14"/>
  <c r="AJ50" i="14"/>
  <c r="AG50" i="14"/>
  <c r="AD50" i="14"/>
  <c r="AA50" i="14"/>
  <c r="X50" i="14"/>
  <c r="U50" i="14"/>
  <c r="R50" i="14"/>
  <c r="AN49" i="14"/>
  <c r="AM49" i="14"/>
  <c r="AJ49" i="14"/>
  <c r="AG49" i="14"/>
  <c r="AD49" i="14"/>
  <c r="AA49" i="14"/>
  <c r="X49" i="14"/>
  <c r="U49" i="14"/>
  <c r="R49" i="14"/>
  <c r="AN48" i="14"/>
  <c r="AM48" i="14"/>
  <c r="AJ48" i="14"/>
  <c r="AG48" i="14"/>
  <c r="AD48" i="14"/>
  <c r="AA48" i="14"/>
  <c r="X48" i="14"/>
  <c r="U48" i="14"/>
  <c r="R48" i="14"/>
  <c r="AN47" i="14"/>
  <c r="AM47" i="14"/>
  <c r="AJ47" i="14"/>
  <c r="AG47" i="14"/>
  <c r="AD47" i="14"/>
  <c r="AA47" i="14"/>
  <c r="X47" i="14"/>
  <c r="U47" i="14"/>
  <c r="R47" i="14"/>
  <c r="AN46" i="14"/>
  <c r="AP46" i="14" s="1"/>
  <c r="AR46" i="14" s="1"/>
  <c r="AM46" i="14"/>
  <c r="AJ46" i="14"/>
  <c r="AG46" i="14"/>
  <c r="AD46" i="14"/>
  <c r="AA46" i="14"/>
  <c r="X46" i="14"/>
  <c r="U46" i="14"/>
  <c r="R46" i="14"/>
  <c r="H46" i="14"/>
  <c r="G46" i="14"/>
  <c r="AN45" i="14"/>
  <c r="AM45" i="14"/>
  <c r="AJ45" i="14"/>
  <c r="AG45" i="14"/>
  <c r="AD45" i="14"/>
  <c r="AA45" i="14"/>
  <c r="X45" i="14"/>
  <c r="U45" i="14"/>
  <c r="R45" i="14"/>
  <c r="AN44" i="14"/>
  <c r="AM44" i="14"/>
  <c r="AJ44" i="14"/>
  <c r="AG44" i="14"/>
  <c r="AD44" i="14"/>
  <c r="AA44" i="14"/>
  <c r="X44" i="14"/>
  <c r="U44" i="14"/>
  <c r="R44" i="14"/>
  <c r="AN43" i="14"/>
  <c r="AM43" i="14"/>
  <c r="AJ43" i="14"/>
  <c r="AG43" i="14"/>
  <c r="AD43" i="14"/>
  <c r="AA43" i="14"/>
  <c r="X43" i="14"/>
  <c r="U43" i="14"/>
  <c r="R43" i="14"/>
  <c r="AN42" i="14"/>
  <c r="AM42" i="14"/>
  <c r="AJ42" i="14"/>
  <c r="AG42" i="14"/>
  <c r="AD42" i="14"/>
  <c r="AA42" i="14"/>
  <c r="X42" i="14"/>
  <c r="U42" i="14"/>
  <c r="R42" i="14"/>
  <c r="AS41" i="14"/>
  <c r="AR41" i="14"/>
  <c r="AN41" i="14"/>
  <c r="AM41" i="14"/>
  <c r="AJ41" i="14"/>
  <c r="AG41" i="14"/>
  <c r="AD41" i="14"/>
  <c r="AA41" i="14"/>
  <c r="X41" i="14"/>
  <c r="U41" i="14"/>
  <c r="R41" i="14"/>
  <c r="AN40" i="14"/>
  <c r="AM40" i="14"/>
  <c r="AJ40" i="14"/>
  <c r="AG40" i="14"/>
  <c r="AD40" i="14"/>
  <c r="AA40" i="14"/>
  <c r="X40" i="14"/>
  <c r="U40" i="14"/>
  <c r="R40" i="14"/>
  <c r="AN39" i="14"/>
  <c r="AM39" i="14"/>
  <c r="AJ39" i="14"/>
  <c r="AG39" i="14"/>
  <c r="AD39" i="14"/>
  <c r="AA39" i="14"/>
  <c r="X39" i="14"/>
  <c r="U39" i="14"/>
  <c r="R39" i="14"/>
  <c r="AN38" i="14"/>
  <c r="AM38" i="14"/>
  <c r="AJ38" i="14"/>
  <c r="AG38" i="14"/>
  <c r="AD38" i="14"/>
  <c r="AA38" i="14"/>
  <c r="X38" i="14"/>
  <c r="U38" i="14"/>
  <c r="R38" i="14"/>
  <c r="AN37" i="14"/>
  <c r="AM37" i="14"/>
  <c r="AJ37" i="14"/>
  <c r="AG37" i="14"/>
  <c r="AD37" i="14"/>
  <c r="AA37" i="14"/>
  <c r="X37" i="14"/>
  <c r="U37" i="14"/>
  <c r="R37" i="14"/>
  <c r="AN36" i="14"/>
  <c r="AP36" i="14" s="1"/>
  <c r="AR36" i="14" s="1"/>
  <c r="AM36" i="14"/>
  <c r="AJ36" i="14"/>
  <c r="AG36" i="14"/>
  <c r="AD36" i="14"/>
  <c r="AA36" i="14"/>
  <c r="X36" i="14"/>
  <c r="U36" i="14"/>
  <c r="R36" i="14"/>
  <c r="H36" i="14"/>
  <c r="G36" i="14"/>
  <c r="AN35" i="14"/>
  <c r="AM35" i="14"/>
  <c r="AJ35" i="14"/>
  <c r="AG35" i="14"/>
  <c r="AD35" i="14"/>
  <c r="AA35" i="14"/>
  <c r="X35" i="14"/>
  <c r="U35" i="14"/>
  <c r="R35" i="14"/>
  <c r="AN34" i="14"/>
  <c r="AM34" i="14"/>
  <c r="AJ34" i="14"/>
  <c r="AG34" i="14"/>
  <c r="AD34" i="14"/>
  <c r="AA34" i="14"/>
  <c r="X34" i="14"/>
  <c r="U34" i="14"/>
  <c r="R34" i="14"/>
  <c r="AN33" i="14"/>
  <c r="AM33" i="14"/>
  <c r="AJ33" i="14"/>
  <c r="AG33" i="14"/>
  <c r="AD33" i="14"/>
  <c r="AA33" i="14"/>
  <c r="X33" i="14"/>
  <c r="U33" i="14"/>
  <c r="R33" i="14"/>
  <c r="AN32" i="14"/>
  <c r="AM32" i="14"/>
  <c r="AJ32" i="14"/>
  <c r="AG32" i="14"/>
  <c r="AD32" i="14"/>
  <c r="AA32" i="14"/>
  <c r="X32" i="14"/>
  <c r="U32" i="14"/>
  <c r="R32" i="14"/>
  <c r="AN31" i="14"/>
  <c r="AP31" i="14" s="1"/>
  <c r="AR31" i="14" s="1"/>
  <c r="AM31" i="14"/>
  <c r="AJ31" i="14"/>
  <c r="AG31" i="14"/>
  <c r="AD31" i="14"/>
  <c r="AA31" i="14"/>
  <c r="X31" i="14"/>
  <c r="U31" i="14"/>
  <c r="R31" i="14"/>
  <c r="H31" i="14"/>
  <c r="G31" i="14"/>
  <c r="AS30" i="14"/>
  <c r="AR30" i="14"/>
  <c r="AN29" i="14"/>
  <c r="AP29" i="14" s="1"/>
  <c r="AR29" i="14" s="1"/>
  <c r="AM29" i="14"/>
  <c r="AJ29" i="14"/>
  <c r="AG29" i="14"/>
  <c r="AD29" i="14"/>
  <c r="AA29" i="14"/>
  <c r="X29" i="14"/>
  <c r="U29" i="14"/>
  <c r="R29" i="14"/>
  <c r="H29" i="14"/>
  <c r="G29" i="14"/>
  <c r="AN28" i="14"/>
  <c r="AM28" i="14"/>
  <c r="AJ28" i="14"/>
  <c r="AG28" i="14"/>
  <c r="AD28" i="14"/>
  <c r="AA28" i="14"/>
  <c r="X28" i="14"/>
  <c r="U28" i="14"/>
  <c r="R28" i="14"/>
  <c r="AN27" i="14"/>
  <c r="AM27" i="14"/>
  <c r="AJ27" i="14"/>
  <c r="AG27" i="14"/>
  <c r="AD27" i="14"/>
  <c r="AA27" i="14"/>
  <c r="X27" i="14"/>
  <c r="U27" i="14"/>
  <c r="R27" i="14"/>
  <c r="AN21" i="14"/>
  <c r="AM21" i="14"/>
  <c r="AJ21" i="14"/>
  <c r="AG21" i="14"/>
  <c r="AD21" i="14"/>
  <c r="AA21" i="14"/>
  <c r="X21" i="14"/>
  <c r="U21" i="14"/>
  <c r="R21" i="14"/>
  <c r="AN20" i="14"/>
  <c r="AM20" i="14"/>
  <c r="AJ20" i="14"/>
  <c r="AG20" i="14"/>
  <c r="AD20" i="14"/>
  <c r="AA20" i="14"/>
  <c r="X20" i="14"/>
  <c r="U20" i="14"/>
  <c r="R20" i="14"/>
  <c r="AN19" i="14"/>
  <c r="AM19" i="14"/>
  <c r="AJ19" i="14"/>
  <c r="AG19" i="14"/>
  <c r="AD19" i="14"/>
  <c r="AA19" i="14"/>
  <c r="X19" i="14"/>
  <c r="U19" i="14"/>
  <c r="R19" i="14"/>
  <c r="AN18" i="14"/>
  <c r="AM18" i="14"/>
  <c r="AJ18" i="14"/>
  <c r="AG18" i="14"/>
  <c r="AD18" i="14"/>
  <c r="AA18" i="14"/>
  <c r="X18" i="14"/>
  <c r="U18" i="14"/>
  <c r="R18" i="14"/>
  <c r="AN17" i="14"/>
  <c r="AM17" i="14"/>
  <c r="AJ17" i="14"/>
  <c r="AG17" i="14"/>
  <c r="AD17" i="14"/>
  <c r="AA17" i="14"/>
  <c r="X17" i="14"/>
  <c r="U17" i="14"/>
  <c r="R17" i="14"/>
  <c r="AN16" i="14"/>
  <c r="AM16" i="14"/>
  <c r="AJ16" i="14"/>
  <c r="AG16" i="14"/>
  <c r="AD16" i="14"/>
  <c r="AA16" i="14"/>
  <c r="X16" i="14"/>
  <c r="U16" i="14"/>
  <c r="R16" i="14"/>
  <c r="AN15" i="14"/>
  <c r="AM15" i="14"/>
  <c r="AJ15" i="14"/>
  <c r="AG15" i="14"/>
  <c r="AD15" i="14"/>
  <c r="AA15" i="14"/>
  <c r="X15" i="14"/>
  <c r="U15" i="14"/>
  <c r="R15" i="14"/>
  <c r="AN14" i="14"/>
  <c r="AM14" i="14"/>
  <c r="AJ14" i="14"/>
  <c r="AG14" i="14"/>
  <c r="AD14" i="14"/>
  <c r="AA14" i="14"/>
  <c r="X14" i="14"/>
  <c r="U14" i="14"/>
  <c r="R14" i="14"/>
  <c r="AN13" i="14"/>
  <c r="AM13" i="14"/>
  <c r="AJ13" i="14"/>
  <c r="AG13" i="14"/>
  <c r="AD13" i="14"/>
  <c r="AA13" i="14"/>
  <c r="X13" i="14"/>
  <c r="U13" i="14"/>
  <c r="R13" i="14"/>
  <c r="AN12" i="14"/>
  <c r="AM12" i="14"/>
  <c r="AJ12" i="14"/>
  <c r="AG12" i="14"/>
  <c r="AD12" i="14"/>
  <c r="AA12" i="14"/>
  <c r="X12" i="14"/>
  <c r="U12" i="14"/>
  <c r="R12" i="14"/>
  <c r="AN11" i="14"/>
  <c r="AM11" i="14"/>
  <c r="AJ11" i="14"/>
  <c r="AG11" i="14"/>
  <c r="AD11" i="14"/>
  <c r="AA11" i="14"/>
  <c r="X11" i="14"/>
  <c r="U11" i="14"/>
  <c r="R11" i="14"/>
  <c r="AN10" i="14"/>
  <c r="AM10" i="14"/>
  <c r="AJ10" i="14"/>
  <c r="AG10" i="14"/>
  <c r="AD10" i="14"/>
  <c r="AA10" i="14"/>
  <c r="X10" i="14"/>
  <c r="U10" i="14"/>
  <c r="R10" i="14"/>
  <c r="AN9" i="14"/>
  <c r="AM9" i="14"/>
  <c r="AJ9" i="14"/>
  <c r="AG9" i="14"/>
  <c r="AD9" i="14"/>
  <c r="AA9" i="14"/>
  <c r="X9" i="14"/>
  <c r="U9" i="14"/>
  <c r="R9" i="14"/>
  <c r="AN8" i="14"/>
  <c r="AM8" i="14"/>
  <c r="AJ8" i="14"/>
  <c r="AG8" i="14"/>
  <c r="AD8" i="14"/>
  <c r="AA8" i="14"/>
  <c r="X8" i="14"/>
  <c r="U8" i="14"/>
  <c r="R8" i="14"/>
  <c r="AN7" i="14"/>
  <c r="AM7" i="14"/>
  <c r="AJ7" i="14"/>
  <c r="AG7" i="14"/>
  <c r="AD7" i="14"/>
  <c r="AA7" i="14"/>
  <c r="X7" i="14"/>
  <c r="U7" i="14"/>
  <c r="R7" i="14"/>
  <c r="AN6" i="14"/>
  <c r="AM6" i="14"/>
  <c r="AJ6" i="14"/>
  <c r="AJ112" i="14" s="1"/>
  <c r="AG6" i="14"/>
  <c r="AG112" i="14" s="1"/>
  <c r="AD6" i="14"/>
  <c r="AD112" i="14" s="1"/>
  <c r="AA6" i="14"/>
  <c r="AA112" i="14" s="1"/>
  <c r="X6" i="14"/>
  <c r="X112" i="14" s="1"/>
  <c r="U6" i="14"/>
  <c r="U112" i="14" s="1"/>
  <c r="R6" i="14"/>
  <c r="R112" i="14" s="1"/>
  <c r="G6" i="14"/>
  <c r="L33" i="13"/>
  <c r="H33" i="13"/>
  <c r="D33" i="13"/>
  <c r="M32" i="13"/>
  <c r="K32" i="13"/>
  <c r="I32" i="13"/>
  <c r="M31" i="13"/>
  <c r="M29" i="13"/>
  <c r="K29" i="13"/>
  <c r="M28" i="13"/>
  <c r="M27" i="13"/>
  <c r="K27" i="13"/>
  <c r="I27" i="13"/>
  <c r="M26" i="13"/>
  <c r="M25" i="13"/>
  <c r="I25" i="13"/>
  <c r="I26" i="13" s="1"/>
  <c r="M24" i="13"/>
  <c r="K24" i="13"/>
  <c r="M23" i="13"/>
  <c r="I23" i="13"/>
  <c r="M22" i="13"/>
  <c r="I22" i="13"/>
  <c r="M20" i="13"/>
  <c r="I20" i="13"/>
  <c r="M19" i="13"/>
  <c r="K19" i="13"/>
  <c r="I19" i="13"/>
  <c r="M18" i="13"/>
  <c r="G18" i="13"/>
  <c r="I18" i="13" s="1"/>
  <c r="M17" i="13"/>
  <c r="G17" i="13"/>
  <c r="I17" i="13" s="1"/>
  <c r="M16" i="13"/>
  <c r="G16" i="13"/>
  <c r="I16" i="13" s="1"/>
  <c r="M15" i="13"/>
  <c r="I15" i="13"/>
  <c r="M14" i="13"/>
  <c r="G14" i="13"/>
  <c r="I14" i="13" s="1"/>
  <c r="M13" i="13"/>
  <c r="G13" i="13"/>
  <c r="I13" i="13" s="1"/>
  <c r="M12" i="13"/>
  <c r="K12" i="13"/>
  <c r="G12" i="13"/>
  <c r="I12" i="13" s="1"/>
  <c r="M10" i="13"/>
  <c r="K10" i="13"/>
  <c r="I10" i="13"/>
  <c r="M9" i="13"/>
  <c r="K9" i="13"/>
  <c r="I9" i="13"/>
  <c r="M8" i="13"/>
  <c r="K8" i="13"/>
  <c r="I8" i="13"/>
  <c r="M6" i="13"/>
  <c r="K6" i="13"/>
  <c r="I6" i="13"/>
  <c r="M4" i="13"/>
  <c r="K4" i="13"/>
  <c r="I4" i="13"/>
  <c r="M2" i="13"/>
  <c r="M33" i="13" s="1"/>
  <c r="K2" i="13"/>
  <c r="K33" i="13" s="1"/>
  <c r="G2" i="13"/>
  <c r="I2" i="13" s="1"/>
  <c r="AB33" i="10"/>
  <c r="Z33" i="10"/>
  <c r="X33" i="10"/>
  <c r="V33" i="10"/>
  <c r="T33" i="10"/>
  <c r="R33" i="10"/>
  <c r="P33" i="10"/>
  <c r="N33" i="10"/>
  <c r="L33" i="10"/>
  <c r="H33" i="10"/>
  <c r="D33" i="10"/>
  <c r="AD32" i="10"/>
  <c r="AC32" i="10"/>
  <c r="AA32" i="10"/>
  <c r="Y32" i="10"/>
  <c r="W32" i="10"/>
  <c r="U32" i="10"/>
  <c r="S32" i="10"/>
  <c r="Q32" i="10"/>
  <c r="O32" i="10"/>
  <c r="M32" i="10"/>
  <c r="K32" i="10"/>
  <c r="I32" i="10"/>
  <c r="AD31" i="10"/>
  <c r="AG31" i="10" s="1"/>
  <c r="AC31" i="10"/>
  <c r="AA31" i="10"/>
  <c r="Y31" i="10"/>
  <c r="W31" i="10"/>
  <c r="U31" i="10"/>
  <c r="S31" i="10"/>
  <c r="Q31" i="10"/>
  <c r="O31" i="10"/>
  <c r="M31" i="10"/>
  <c r="AD29" i="10"/>
  <c r="AC29" i="10"/>
  <c r="AA29" i="10"/>
  <c r="Y29" i="10"/>
  <c r="W29" i="10"/>
  <c r="U29" i="10"/>
  <c r="S29" i="10"/>
  <c r="Q29" i="10"/>
  <c r="O29" i="10"/>
  <c r="M29" i="10"/>
  <c r="K29" i="10"/>
  <c r="AD27" i="10"/>
  <c r="AC27" i="10"/>
  <c r="AA27" i="10"/>
  <c r="Y27" i="10"/>
  <c r="W27" i="10"/>
  <c r="U27" i="10"/>
  <c r="S27" i="10"/>
  <c r="Q27" i="10"/>
  <c r="O27" i="10"/>
  <c r="M27" i="10"/>
  <c r="K27" i="10"/>
  <c r="I27" i="10"/>
  <c r="AD26" i="10"/>
  <c r="AC26" i="10"/>
  <c r="AA26" i="10"/>
  <c r="Y26" i="10"/>
  <c r="W26" i="10"/>
  <c r="U26" i="10"/>
  <c r="S26" i="10"/>
  <c r="Q26" i="10"/>
  <c r="O26" i="10"/>
  <c r="M26" i="10"/>
  <c r="AD25" i="10"/>
  <c r="AC25" i="10"/>
  <c r="AA25" i="10"/>
  <c r="Y25" i="10"/>
  <c r="W25" i="10"/>
  <c r="U25" i="10"/>
  <c r="S25" i="10"/>
  <c r="Q25" i="10"/>
  <c r="O25" i="10"/>
  <c r="M25" i="10"/>
  <c r="I25" i="10"/>
  <c r="I26" i="10" s="1"/>
  <c r="AD24" i="10"/>
  <c r="AF24" i="10" s="1"/>
  <c r="AC24" i="10"/>
  <c r="AA24" i="10"/>
  <c r="Y24" i="10"/>
  <c r="W24" i="10"/>
  <c r="U24" i="10"/>
  <c r="S24" i="10"/>
  <c r="Q24" i="10"/>
  <c r="O24" i="10"/>
  <c r="M24" i="10"/>
  <c r="K24" i="10"/>
  <c r="AD23" i="10"/>
  <c r="AC23" i="10"/>
  <c r="AA23" i="10"/>
  <c r="Y23" i="10"/>
  <c r="W23" i="10"/>
  <c r="U23" i="10"/>
  <c r="S23" i="10"/>
  <c r="Q23" i="10"/>
  <c r="O23" i="10"/>
  <c r="M23" i="10"/>
  <c r="I23" i="10"/>
  <c r="AD22" i="10"/>
  <c r="AC22" i="10"/>
  <c r="AA22" i="10"/>
  <c r="Y22" i="10"/>
  <c r="W22" i="10"/>
  <c r="U22" i="10"/>
  <c r="S22" i="10"/>
  <c r="Q22" i="10"/>
  <c r="O22" i="10"/>
  <c r="M22" i="10"/>
  <c r="I22" i="10"/>
  <c r="AD20" i="10"/>
  <c r="AC20" i="10"/>
  <c r="AA20" i="10"/>
  <c r="Y20" i="10"/>
  <c r="W20" i="10"/>
  <c r="U20" i="10"/>
  <c r="S20" i="10"/>
  <c r="Q20" i="10"/>
  <c r="O20" i="10"/>
  <c r="M20" i="10"/>
  <c r="I20" i="10"/>
  <c r="AD19" i="10"/>
  <c r="AC19" i="10"/>
  <c r="AA19" i="10"/>
  <c r="Y19" i="10"/>
  <c r="W19" i="10"/>
  <c r="U19" i="10"/>
  <c r="S19" i="10"/>
  <c r="Q19" i="10"/>
  <c r="O19" i="10"/>
  <c r="M19" i="10"/>
  <c r="K19" i="10"/>
  <c r="I19" i="10"/>
  <c r="AD18" i="10"/>
  <c r="AC18" i="10"/>
  <c r="AA18" i="10"/>
  <c r="Y18" i="10"/>
  <c r="W18" i="10"/>
  <c r="U18" i="10"/>
  <c r="S18" i="10"/>
  <c r="Q18" i="10"/>
  <c r="O18" i="10"/>
  <c r="M18" i="10"/>
  <c r="G18" i="10"/>
  <c r="I18" i="10" s="1"/>
  <c r="AD17" i="10"/>
  <c r="AC17" i="10"/>
  <c r="AA17" i="10"/>
  <c r="Y17" i="10"/>
  <c r="W17" i="10"/>
  <c r="U17" i="10"/>
  <c r="S17" i="10"/>
  <c r="Q17" i="10"/>
  <c r="O17" i="10"/>
  <c r="M17" i="10"/>
  <c r="G17" i="10"/>
  <c r="I17" i="10" s="1"/>
  <c r="AD16" i="10"/>
  <c r="AC16" i="10"/>
  <c r="AA16" i="10"/>
  <c r="Y16" i="10"/>
  <c r="W16" i="10"/>
  <c r="U16" i="10"/>
  <c r="S16" i="10"/>
  <c r="Q16" i="10"/>
  <c r="O16" i="10"/>
  <c r="M16" i="10"/>
  <c r="G16" i="10"/>
  <c r="I16" i="10" s="1"/>
  <c r="AD15" i="10"/>
  <c r="AC15" i="10"/>
  <c r="AA15" i="10"/>
  <c r="Y15" i="10"/>
  <c r="W15" i="10"/>
  <c r="U15" i="10"/>
  <c r="S15" i="10"/>
  <c r="Q15" i="10"/>
  <c r="O15" i="10"/>
  <c r="M15" i="10"/>
  <c r="I15" i="10"/>
  <c r="AD14" i="10"/>
  <c r="AC14" i="10"/>
  <c r="AA14" i="10"/>
  <c r="Y14" i="10"/>
  <c r="W14" i="10"/>
  <c r="U14" i="10"/>
  <c r="S14" i="10"/>
  <c r="Q14" i="10"/>
  <c r="O14" i="10"/>
  <c r="M14" i="10"/>
  <c r="G14" i="10"/>
  <c r="I14" i="10" s="1"/>
  <c r="AD13" i="10"/>
  <c r="AC13" i="10"/>
  <c r="AA13" i="10"/>
  <c r="Y13" i="10"/>
  <c r="W13" i="10"/>
  <c r="U13" i="10"/>
  <c r="S13" i="10"/>
  <c r="Q13" i="10"/>
  <c r="O13" i="10"/>
  <c r="M13" i="10"/>
  <c r="G13" i="10"/>
  <c r="I13" i="10" s="1"/>
  <c r="AD12" i="10"/>
  <c r="AC12" i="10"/>
  <c r="AA12" i="10"/>
  <c r="Y12" i="10"/>
  <c r="W12" i="10"/>
  <c r="U12" i="10"/>
  <c r="S12" i="10"/>
  <c r="Q12" i="10"/>
  <c r="O12" i="10"/>
  <c r="M12" i="10"/>
  <c r="K12" i="10"/>
  <c r="G12" i="10"/>
  <c r="I12" i="10" s="1"/>
  <c r="AD10" i="10"/>
  <c r="AC10" i="10"/>
  <c r="AA10" i="10"/>
  <c r="Y10" i="10"/>
  <c r="W10" i="10"/>
  <c r="U10" i="10"/>
  <c r="S10" i="10"/>
  <c r="Q10" i="10"/>
  <c r="O10" i="10"/>
  <c r="M10" i="10"/>
  <c r="K10" i="10"/>
  <c r="I10" i="10"/>
  <c r="AD9" i="10"/>
  <c r="AC9" i="10"/>
  <c r="AA9" i="10"/>
  <c r="Y9" i="10"/>
  <c r="W9" i="10"/>
  <c r="U9" i="10"/>
  <c r="S9" i="10"/>
  <c r="Q9" i="10"/>
  <c r="O9" i="10"/>
  <c r="M9" i="10"/>
  <c r="K9" i="10"/>
  <c r="I9" i="10"/>
  <c r="AD8" i="10"/>
  <c r="AC8" i="10"/>
  <c r="AA8" i="10"/>
  <c r="Y8" i="10"/>
  <c r="W8" i="10"/>
  <c r="U8" i="10"/>
  <c r="S8" i="10"/>
  <c r="Q8" i="10"/>
  <c r="O8" i="10"/>
  <c r="M8" i="10"/>
  <c r="K8" i="10"/>
  <c r="I8" i="10"/>
  <c r="AD6" i="10"/>
  <c r="AC6" i="10"/>
  <c r="AA6" i="10"/>
  <c r="Y6" i="10"/>
  <c r="W6" i="10"/>
  <c r="U6" i="10"/>
  <c r="S6" i="10"/>
  <c r="Q6" i="10"/>
  <c r="O6" i="10"/>
  <c r="M6" i="10"/>
  <c r="K6" i="10"/>
  <c r="I6" i="10"/>
  <c r="AD4" i="10"/>
  <c r="AC4" i="10"/>
  <c r="AA4" i="10"/>
  <c r="Y4" i="10"/>
  <c r="W4" i="10"/>
  <c r="U4" i="10"/>
  <c r="S4" i="10"/>
  <c r="Q4" i="10"/>
  <c r="O4" i="10"/>
  <c r="M4" i="10"/>
  <c r="K4" i="10"/>
  <c r="I4" i="10"/>
  <c r="AD2" i="10"/>
  <c r="AC2" i="10"/>
  <c r="AA2" i="10"/>
  <c r="AA33" i="10" s="1"/>
  <c r="Y2" i="10"/>
  <c r="Y33" i="10" s="1"/>
  <c r="W2" i="10"/>
  <c r="W33" i="10" s="1"/>
  <c r="U2" i="10"/>
  <c r="U33" i="10" s="1"/>
  <c r="S2" i="10"/>
  <c r="S33" i="10" s="1"/>
  <c r="Q2" i="10"/>
  <c r="Q33" i="10" s="1"/>
  <c r="O2" i="10"/>
  <c r="O33" i="10" s="1"/>
  <c r="M2" i="10"/>
  <c r="M33" i="10" s="1"/>
  <c r="K2" i="10"/>
  <c r="K33" i="10" s="1"/>
  <c r="G2" i="10"/>
  <c r="I2" i="10" s="1"/>
  <c r="E99" i="5"/>
  <c r="AM98" i="5"/>
  <c r="AO98" i="5" s="1"/>
  <c r="AQ98" i="5" s="1"/>
  <c r="AL98" i="5"/>
  <c r="AI98" i="5"/>
  <c r="AF98" i="5"/>
  <c r="AC98" i="5"/>
  <c r="Z98" i="5"/>
  <c r="W98" i="5"/>
  <c r="T98" i="5"/>
  <c r="Q98" i="5"/>
  <c r="H98" i="5"/>
  <c r="G98" i="5"/>
  <c r="AM97" i="5"/>
  <c r="AO97" i="5" s="1"/>
  <c r="AL97" i="5"/>
  <c r="AI97" i="5"/>
  <c r="AF97" i="5"/>
  <c r="AC97" i="5"/>
  <c r="Z97" i="5"/>
  <c r="W97" i="5"/>
  <c r="T97" i="5"/>
  <c r="Q97" i="5"/>
  <c r="AM96" i="5"/>
  <c r="AL96" i="5"/>
  <c r="AI96" i="5"/>
  <c r="AF96" i="5"/>
  <c r="AC96" i="5"/>
  <c r="Z96" i="5"/>
  <c r="W96" i="5"/>
  <c r="T96" i="5"/>
  <c r="Q96" i="5"/>
  <c r="AM95" i="5"/>
  <c r="AO95" i="5" s="1"/>
  <c r="AQ95" i="5" s="1"/>
  <c r="AL95" i="5"/>
  <c r="AI95" i="5"/>
  <c r="AF95" i="5"/>
  <c r="AC95" i="5"/>
  <c r="Z95" i="5"/>
  <c r="W95" i="5"/>
  <c r="T95" i="5"/>
  <c r="Q95" i="5"/>
  <c r="G95" i="5"/>
  <c r="AR94" i="5"/>
  <c r="AQ94" i="5"/>
  <c r="AM94" i="5"/>
  <c r="AL94" i="5"/>
  <c r="AI94" i="5"/>
  <c r="AF94" i="5"/>
  <c r="AC94" i="5"/>
  <c r="Z94" i="5"/>
  <c r="W94" i="5"/>
  <c r="T94" i="5"/>
  <c r="Q94" i="5"/>
  <c r="AM93" i="5"/>
  <c r="AO93" i="5" s="1"/>
  <c r="AQ93" i="5" s="1"/>
  <c r="AL93" i="5"/>
  <c r="AI93" i="5"/>
  <c r="AF93" i="5"/>
  <c r="AC93" i="5"/>
  <c r="Z93" i="5"/>
  <c r="W93" i="5"/>
  <c r="T93" i="5"/>
  <c r="Q93" i="5"/>
  <c r="H93" i="5"/>
  <c r="G93" i="5"/>
  <c r="AM92" i="5"/>
  <c r="AL92" i="5"/>
  <c r="AI92" i="5"/>
  <c r="AF92" i="5"/>
  <c r="AC92" i="5"/>
  <c r="Z92" i="5"/>
  <c r="W92" i="5"/>
  <c r="T92" i="5"/>
  <c r="Q92" i="5"/>
  <c r="AM91" i="5"/>
  <c r="AL91" i="5"/>
  <c r="AI91" i="5"/>
  <c r="AF91" i="5"/>
  <c r="AC91" i="5"/>
  <c r="Z91" i="5"/>
  <c r="W91" i="5"/>
  <c r="T91" i="5"/>
  <c r="Q91" i="5"/>
  <c r="H91" i="5"/>
  <c r="H92" i="5" s="1"/>
  <c r="AM90" i="5"/>
  <c r="AO90" i="5" s="1"/>
  <c r="AQ90" i="5" s="1"/>
  <c r="AL90" i="5"/>
  <c r="AI90" i="5"/>
  <c r="AF90" i="5"/>
  <c r="AC90" i="5"/>
  <c r="Z90" i="5"/>
  <c r="W90" i="5"/>
  <c r="T90" i="5"/>
  <c r="Q90" i="5"/>
  <c r="G90" i="5"/>
  <c r="AM89" i="5"/>
  <c r="AL89" i="5"/>
  <c r="AI89" i="5"/>
  <c r="AF89" i="5"/>
  <c r="AC89" i="5"/>
  <c r="Z89" i="5"/>
  <c r="W89" i="5"/>
  <c r="T89" i="5"/>
  <c r="Q89" i="5"/>
  <c r="AM88" i="5"/>
  <c r="AL88" i="5"/>
  <c r="AI88" i="5"/>
  <c r="AF88" i="5"/>
  <c r="AC88" i="5"/>
  <c r="Z88" i="5"/>
  <c r="W88" i="5"/>
  <c r="T88" i="5"/>
  <c r="Q88" i="5"/>
  <c r="AM87" i="5"/>
  <c r="AL87" i="5"/>
  <c r="AI87" i="5"/>
  <c r="AF87" i="5"/>
  <c r="AC87" i="5"/>
  <c r="Z87" i="5"/>
  <c r="W87" i="5"/>
  <c r="T87" i="5"/>
  <c r="Q87" i="5"/>
  <c r="AM86" i="5"/>
  <c r="AL86" i="5"/>
  <c r="AI86" i="5"/>
  <c r="AF86" i="5"/>
  <c r="AC86" i="5"/>
  <c r="Z86" i="5"/>
  <c r="W86" i="5"/>
  <c r="T86" i="5"/>
  <c r="Q86" i="5"/>
  <c r="AM85" i="5"/>
  <c r="AL85" i="5"/>
  <c r="AI85" i="5"/>
  <c r="AF85" i="5"/>
  <c r="AC85" i="5"/>
  <c r="Z85" i="5"/>
  <c r="W85" i="5"/>
  <c r="T85" i="5"/>
  <c r="Q85" i="5"/>
  <c r="AM84" i="5"/>
  <c r="AO84" i="5" s="1"/>
  <c r="AQ84" i="5" s="1"/>
  <c r="AL84" i="5"/>
  <c r="AI84" i="5"/>
  <c r="AF84" i="5"/>
  <c r="AC84" i="5"/>
  <c r="Z84" i="5"/>
  <c r="W84" i="5"/>
  <c r="T84" i="5"/>
  <c r="Q84" i="5"/>
  <c r="H84" i="5"/>
  <c r="G84" i="5"/>
  <c r="AM83" i="5"/>
  <c r="AO83" i="5" s="1"/>
  <c r="AQ83" i="5" s="1"/>
  <c r="AL83" i="5"/>
  <c r="AI83" i="5"/>
  <c r="AF83" i="5"/>
  <c r="AC83" i="5"/>
  <c r="Z83" i="5"/>
  <c r="W83" i="5"/>
  <c r="T83" i="5"/>
  <c r="Q83" i="5"/>
  <c r="H83" i="5"/>
  <c r="G83" i="5"/>
  <c r="AM82" i="5"/>
  <c r="AL82" i="5"/>
  <c r="AI82" i="5"/>
  <c r="AF82" i="5"/>
  <c r="AC82" i="5"/>
  <c r="Z82" i="5"/>
  <c r="W82" i="5"/>
  <c r="T82" i="5"/>
  <c r="Q82" i="5"/>
  <c r="AM81" i="5"/>
  <c r="AO81" i="5" s="1"/>
  <c r="AQ81" i="5" s="1"/>
  <c r="AL81" i="5"/>
  <c r="AI81" i="5"/>
  <c r="AF81" i="5"/>
  <c r="AC81" i="5"/>
  <c r="Z81" i="5"/>
  <c r="W81" i="5"/>
  <c r="T81" i="5"/>
  <c r="Q81" i="5"/>
  <c r="H81" i="5"/>
  <c r="G81" i="5"/>
  <c r="AM80" i="5"/>
  <c r="AO80" i="5" s="1"/>
  <c r="AQ80" i="5" s="1"/>
  <c r="AL80" i="5"/>
  <c r="AI80" i="5"/>
  <c r="AF80" i="5"/>
  <c r="AC80" i="5"/>
  <c r="Z80" i="5"/>
  <c r="W80" i="5"/>
  <c r="T80" i="5"/>
  <c r="Q80" i="5"/>
  <c r="H80" i="5"/>
  <c r="G80" i="5"/>
  <c r="AM79" i="5"/>
  <c r="AL79" i="5"/>
  <c r="AI79" i="5"/>
  <c r="AF79" i="5"/>
  <c r="AC79" i="5"/>
  <c r="Z79" i="5"/>
  <c r="W79" i="5"/>
  <c r="T79" i="5"/>
  <c r="Q79" i="5"/>
  <c r="AM78" i="5"/>
  <c r="AL78" i="5"/>
  <c r="AI78" i="5"/>
  <c r="AF78" i="5"/>
  <c r="AC78" i="5"/>
  <c r="Z78" i="5"/>
  <c r="W78" i="5"/>
  <c r="T78" i="5"/>
  <c r="Q78" i="5"/>
  <c r="AM77" i="5"/>
  <c r="AL77" i="5"/>
  <c r="AI77" i="5"/>
  <c r="AF77" i="5"/>
  <c r="AC77" i="5"/>
  <c r="Z77" i="5"/>
  <c r="W77" i="5"/>
  <c r="T77" i="5"/>
  <c r="Q77" i="5"/>
  <c r="AM76" i="5"/>
  <c r="AL76" i="5"/>
  <c r="AI76" i="5"/>
  <c r="AF76" i="5"/>
  <c r="AC76" i="5"/>
  <c r="Z76" i="5"/>
  <c r="W76" i="5"/>
  <c r="T76" i="5"/>
  <c r="Q76" i="5"/>
  <c r="AM75" i="5"/>
  <c r="AL75" i="5"/>
  <c r="AI75" i="5"/>
  <c r="AF75" i="5"/>
  <c r="AC75" i="5"/>
  <c r="Z75" i="5"/>
  <c r="W75" i="5"/>
  <c r="T75" i="5"/>
  <c r="Q75" i="5"/>
  <c r="AM74" i="5"/>
  <c r="AL74" i="5"/>
  <c r="AI74" i="5"/>
  <c r="AF74" i="5"/>
  <c r="AC74" i="5"/>
  <c r="Z74" i="5"/>
  <c r="W74" i="5"/>
  <c r="T74" i="5"/>
  <c r="Q74" i="5"/>
  <c r="AM73" i="5"/>
  <c r="AO73" i="5" s="1"/>
  <c r="AL73" i="5"/>
  <c r="AI73" i="5"/>
  <c r="AF73" i="5"/>
  <c r="AC73" i="5"/>
  <c r="Z73" i="5"/>
  <c r="W73" i="5"/>
  <c r="T73" i="5"/>
  <c r="Q73" i="5"/>
  <c r="D73" i="5"/>
  <c r="AM72" i="5"/>
  <c r="AL72" i="5"/>
  <c r="AI72" i="5"/>
  <c r="AF72" i="5"/>
  <c r="AC72" i="5"/>
  <c r="Z72" i="5"/>
  <c r="W72" i="5"/>
  <c r="T72" i="5"/>
  <c r="Q72" i="5"/>
  <c r="AM71" i="5"/>
  <c r="AL71" i="5"/>
  <c r="AI71" i="5"/>
  <c r="AF71" i="5"/>
  <c r="AC71" i="5"/>
  <c r="Z71" i="5"/>
  <c r="W71" i="5"/>
  <c r="T71" i="5"/>
  <c r="Q71" i="5"/>
  <c r="AM70" i="5"/>
  <c r="AL70" i="5"/>
  <c r="AI70" i="5"/>
  <c r="AF70" i="5"/>
  <c r="AC70" i="5"/>
  <c r="Z70" i="5"/>
  <c r="W70" i="5"/>
  <c r="T70" i="5"/>
  <c r="Q70" i="5"/>
  <c r="AM69" i="5"/>
  <c r="AL69" i="5"/>
  <c r="AI69" i="5"/>
  <c r="AF69" i="5"/>
  <c r="AC69" i="5"/>
  <c r="Z69" i="5"/>
  <c r="W69" i="5"/>
  <c r="T69" i="5"/>
  <c r="Q69" i="5"/>
  <c r="AM68" i="5"/>
  <c r="AL68" i="5"/>
  <c r="AI68" i="5"/>
  <c r="AF68" i="5"/>
  <c r="AC68" i="5"/>
  <c r="Z68" i="5"/>
  <c r="W68" i="5"/>
  <c r="T68" i="5"/>
  <c r="Q68" i="5"/>
  <c r="AM67" i="5"/>
  <c r="AL67" i="5"/>
  <c r="AI67" i="5"/>
  <c r="AF67" i="5"/>
  <c r="AC67" i="5"/>
  <c r="Z67" i="5"/>
  <c r="W67" i="5"/>
  <c r="T67" i="5"/>
  <c r="Q67" i="5"/>
  <c r="AM66" i="5"/>
  <c r="AL66" i="5"/>
  <c r="AI66" i="5"/>
  <c r="AF66" i="5"/>
  <c r="AC66" i="5"/>
  <c r="Z66" i="5"/>
  <c r="W66" i="5"/>
  <c r="T66" i="5"/>
  <c r="Q66" i="5"/>
  <c r="AM65" i="5"/>
  <c r="AO65" i="5" s="1"/>
  <c r="AL65" i="5"/>
  <c r="AI65" i="5"/>
  <c r="AF65" i="5"/>
  <c r="AC65" i="5"/>
  <c r="Z65" i="5"/>
  <c r="W65" i="5"/>
  <c r="T65" i="5"/>
  <c r="Q65" i="5"/>
  <c r="D65" i="5"/>
  <c r="AM64" i="5"/>
  <c r="AL64" i="5"/>
  <c r="AI64" i="5"/>
  <c r="AF64" i="5"/>
  <c r="AC64" i="5"/>
  <c r="Z64" i="5"/>
  <c r="W64" i="5"/>
  <c r="T64" i="5"/>
  <c r="Q64" i="5"/>
  <c r="AM63" i="5"/>
  <c r="AL63" i="5"/>
  <c r="AI63" i="5"/>
  <c r="AF63" i="5"/>
  <c r="AC63" i="5"/>
  <c r="Z63" i="5"/>
  <c r="W63" i="5"/>
  <c r="T63" i="5"/>
  <c r="Q63" i="5"/>
  <c r="AM62" i="5"/>
  <c r="AL62" i="5"/>
  <c r="AI62" i="5"/>
  <c r="AF62" i="5"/>
  <c r="AC62" i="5"/>
  <c r="Z62" i="5"/>
  <c r="W62" i="5"/>
  <c r="T62" i="5"/>
  <c r="Q62" i="5"/>
  <c r="AM61" i="5"/>
  <c r="AL61" i="5"/>
  <c r="AI61" i="5"/>
  <c r="AF61" i="5"/>
  <c r="AC61" i="5"/>
  <c r="Z61" i="5"/>
  <c r="W61" i="5"/>
  <c r="T61" i="5"/>
  <c r="Q61" i="5"/>
  <c r="AM60" i="5"/>
  <c r="AO60" i="5" s="1"/>
  <c r="AL60" i="5"/>
  <c r="AI60" i="5"/>
  <c r="AF60" i="5"/>
  <c r="AC60" i="5"/>
  <c r="Z60" i="5"/>
  <c r="W60" i="5"/>
  <c r="T60" i="5"/>
  <c r="Q60" i="5"/>
  <c r="D60" i="5"/>
  <c r="AM59" i="5"/>
  <c r="AL59" i="5"/>
  <c r="AI59" i="5"/>
  <c r="AF59" i="5"/>
  <c r="AC59" i="5"/>
  <c r="Z59" i="5"/>
  <c r="W59" i="5"/>
  <c r="T59" i="5"/>
  <c r="Q59" i="5"/>
  <c r="AM58" i="5"/>
  <c r="AL58" i="5"/>
  <c r="AI58" i="5"/>
  <c r="AF58" i="5"/>
  <c r="AC58" i="5"/>
  <c r="Z58" i="5"/>
  <c r="W58" i="5"/>
  <c r="T58" i="5"/>
  <c r="Q58" i="5"/>
  <c r="AM57" i="5"/>
  <c r="AO57" i="5" s="1"/>
  <c r="AQ57" i="5" s="1"/>
  <c r="AL57" i="5"/>
  <c r="AI57" i="5"/>
  <c r="AF57" i="5"/>
  <c r="AC57" i="5"/>
  <c r="Z57" i="5"/>
  <c r="W57" i="5"/>
  <c r="T57" i="5"/>
  <c r="Q57" i="5"/>
  <c r="H57" i="5"/>
  <c r="G57" i="5"/>
  <c r="AM56" i="5"/>
  <c r="AL56" i="5"/>
  <c r="AI56" i="5"/>
  <c r="AF56" i="5"/>
  <c r="AC56" i="5"/>
  <c r="Z56" i="5"/>
  <c r="W56" i="5"/>
  <c r="T56" i="5"/>
  <c r="Q56" i="5"/>
  <c r="AM55" i="5"/>
  <c r="AL55" i="5"/>
  <c r="AI55" i="5"/>
  <c r="AF55" i="5"/>
  <c r="AC55" i="5"/>
  <c r="Z55" i="5"/>
  <c r="W55" i="5"/>
  <c r="T55" i="5"/>
  <c r="Q55" i="5"/>
  <c r="AM54" i="5"/>
  <c r="AL54" i="5"/>
  <c r="AI54" i="5"/>
  <c r="AF54" i="5"/>
  <c r="AC54" i="5"/>
  <c r="Z54" i="5"/>
  <c r="W54" i="5"/>
  <c r="T54" i="5"/>
  <c r="Q54" i="5"/>
  <c r="AM53" i="5"/>
  <c r="AL53" i="5"/>
  <c r="AI53" i="5"/>
  <c r="AF53" i="5"/>
  <c r="AC53" i="5"/>
  <c r="Z53" i="5"/>
  <c r="W53" i="5"/>
  <c r="T53" i="5"/>
  <c r="Q53" i="5"/>
  <c r="AM52" i="5"/>
  <c r="AL52" i="5"/>
  <c r="AI52" i="5"/>
  <c r="AF52" i="5"/>
  <c r="AC52" i="5"/>
  <c r="Z52" i="5"/>
  <c r="W52" i="5"/>
  <c r="T52" i="5"/>
  <c r="Q52" i="5"/>
  <c r="AM51" i="5"/>
  <c r="AO51" i="5" s="1"/>
  <c r="AL51" i="5"/>
  <c r="AI51" i="5"/>
  <c r="AF51" i="5"/>
  <c r="AC51" i="5"/>
  <c r="Z51" i="5"/>
  <c r="W51" i="5"/>
  <c r="T51" i="5"/>
  <c r="Q51" i="5"/>
  <c r="D51" i="5"/>
  <c r="AM50" i="5"/>
  <c r="AL50" i="5"/>
  <c r="AI50" i="5"/>
  <c r="AF50" i="5"/>
  <c r="AC50" i="5"/>
  <c r="Z50" i="5"/>
  <c r="W50" i="5"/>
  <c r="T50" i="5"/>
  <c r="Q50" i="5"/>
  <c r="AM49" i="5"/>
  <c r="AL49" i="5"/>
  <c r="AI49" i="5"/>
  <c r="AF49" i="5"/>
  <c r="AC49" i="5"/>
  <c r="Z49" i="5"/>
  <c r="W49" i="5"/>
  <c r="T49" i="5"/>
  <c r="Q49" i="5"/>
  <c r="AM48" i="5"/>
  <c r="AL48" i="5"/>
  <c r="AI48" i="5"/>
  <c r="AF48" i="5"/>
  <c r="AC48" i="5"/>
  <c r="Z48" i="5"/>
  <c r="W48" i="5"/>
  <c r="T48" i="5"/>
  <c r="Q48" i="5"/>
  <c r="AM47" i="5"/>
  <c r="AL47" i="5"/>
  <c r="AI47" i="5"/>
  <c r="AF47" i="5"/>
  <c r="AC47" i="5"/>
  <c r="Z47" i="5"/>
  <c r="W47" i="5"/>
  <c r="T47" i="5"/>
  <c r="Q47" i="5"/>
  <c r="AM46" i="5"/>
  <c r="AO46" i="5" s="1"/>
  <c r="AL46" i="5"/>
  <c r="AI46" i="5"/>
  <c r="AF46" i="5"/>
  <c r="AC46" i="5"/>
  <c r="Z46" i="5"/>
  <c r="W46" i="5"/>
  <c r="T46" i="5"/>
  <c r="Q46" i="5"/>
  <c r="D46" i="5"/>
  <c r="AM45" i="5"/>
  <c r="AL45" i="5"/>
  <c r="AI45" i="5"/>
  <c r="AF45" i="5"/>
  <c r="AC45" i="5"/>
  <c r="Z45" i="5"/>
  <c r="W45" i="5"/>
  <c r="T45" i="5"/>
  <c r="Q45" i="5"/>
  <c r="AM44" i="5"/>
  <c r="AL44" i="5"/>
  <c r="AI44" i="5"/>
  <c r="AF44" i="5"/>
  <c r="AC44" i="5"/>
  <c r="Z44" i="5"/>
  <c r="W44" i="5"/>
  <c r="T44" i="5"/>
  <c r="Q44" i="5"/>
  <c r="AM43" i="5"/>
  <c r="AO43" i="5" s="1"/>
  <c r="AL43" i="5"/>
  <c r="AI43" i="5"/>
  <c r="AF43" i="5"/>
  <c r="AC43" i="5"/>
  <c r="Z43" i="5"/>
  <c r="W43" i="5"/>
  <c r="T43" i="5"/>
  <c r="Q43" i="5"/>
  <c r="D43" i="5"/>
  <c r="AR42" i="5"/>
  <c r="AQ42" i="5"/>
  <c r="AM41" i="5"/>
  <c r="AO41" i="5" s="1"/>
  <c r="AQ41" i="5" s="1"/>
  <c r="AL41" i="5"/>
  <c r="AI41" i="5"/>
  <c r="AF41" i="5"/>
  <c r="AC41" i="5"/>
  <c r="Z41" i="5"/>
  <c r="W41" i="5"/>
  <c r="T41" i="5"/>
  <c r="Q41" i="5"/>
  <c r="H41" i="5"/>
  <c r="G41" i="5"/>
  <c r="AM40" i="5"/>
  <c r="AO40" i="5" s="1"/>
  <c r="AQ40" i="5" s="1"/>
  <c r="AL40" i="5"/>
  <c r="AI40" i="5"/>
  <c r="AF40" i="5"/>
  <c r="AC40" i="5"/>
  <c r="Z40" i="5"/>
  <c r="W40" i="5"/>
  <c r="T40" i="5"/>
  <c r="Q40" i="5"/>
  <c r="H40" i="5"/>
  <c r="G40" i="5"/>
  <c r="AM39" i="5"/>
  <c r="AO39" i="5" s="1"/>
  <c r="AQ39" i="5" s="1"/>
  <c r="AL39" i="5"/>
  <c r="AI39" i="5"/>
  <c r="AF39" i="5"/>
  <c r="AC39" i="5"/>
  <c r="Z39" i="5"/>
  <c r="W39" i="5"/>
  <c r="T39" i="5"/>
  <c r="Q39" i="5"/>
  <c r="H39" i="5"/>
  <c r="G39" i="5"/>
  <c r="AM38" i="5"/>
  <c r="AL38" i="5"/>
  <c r="AI38" i="5"/>
  <c r="AF38" i="5"/>
  <c r="AC38" i="5"/>
  <c r="Z38" i="5"/>
  <c r="W38" i="5"/>
  <c r="T38" i="5"/>
  <c r="Q38" i="5"/>
  <c r="AM37" i="5"/>
  <c r="AL37" i="5"/>
  <c r="AI37" i="5"/>
  <c r="AF37" i="5"/>
  <c r="AC37" i="5"/>
  <c r="Z37" i="5"/>
  <c r="W37" i="5"/>
  <c r="T37" i="5"/>
  <c r="Q37" i="5"/>
  <c r="AM36" i="5"/>
  <c r="AL36" i="5"/>
  <c r="AI36" i="5"/>
  <c r="AF36" i="5"/>
  <c r="AC36" i="5"/>
  <c r="Z36" i="5"/>
  <c r="W36" i="5"/>
  <c r="T36" i="5"/>
  <c r="Q36" i="5"/>
  <c r="AM35" i="5"/>
  <c r="AL35" i="5"/>
  <c r="AI35" i="5"/>
  <c r="AF35" i="5"/>
  <c r="AC35" i="5"/>
  <c r="Z35" i="5"/>
  <c r="W35" i="5"/>
  <c r="T35" i="5"/>
  <c r="Q35" i="5"/>
  <c r="AR34" i="5"/>
  <c r="AQ34" i="5"/>
  <c r="AM34" i="5"/>
  <c r="AL34" i="5"/>
  <c r="AI34" i="5"/>
  <c r="AF34" i="5"/>
  <c r="AC34" i="5"/>
  <c r="Z34" i="5"/>
  <c r="W34" i="5"/>
  <c r="T34" i="5"/>
  <c r="Q34" i="5"/>
  <c r="AM33" i="5"/>
  <c r="AL33" i="5"/>
  <c r="AI33" i="5"/>
  <c r="AF33" i="5"/>
  <c r="AC33" i="5"/>
  <c r="Z33" i="5"/>
  <c r="W33" i="5"/>
  <c r="T33" i="5"/>
  <c r="Q33" i="5"/>
  <c r="AM32" i="5"/>
  <c r="AL32" i="5"/>
  <c r="AI32" i="5"/>
  <c r="AF32" i="5"/>
  <c r="AC32" i="5"/>
  <c r="Z32" i="5"/>
  <c r="W32" i="5"/>
  <c r="T32" i="5"/>
  <c r="Q32" i="5"/>
  <c r="AM31" i="5"/>
  <c r="AL31" i="5"/>
  <c r="AI31" i="5"/>
  <c r="AF31" i="5"/>
  <c r="AC31" i="5"/>
  <c r="Z31" i="5"/>
  <c r="W31" i="5"/>
  <c r="T31" i="5"/>
  <c r="Q31" i="5"/>
  <c r="AM30" i="5"/>
  <c r="AL30" i="5"/>
  <c r="AI30" i="5"/>
  <c r="AF30" i="5"/>
  <c r="AC30" i="5"/>
  <c r="Z30" i="5"/>
  <c r="W30" i="5"/>
  <c r="T30" i="5"/>
  <c r="Q30" i="5"/>
  <c r="AM29" i="5"/>
  <c r="AO29" i="5" s="1"/>
  <c r="AQ29" i="5" s="1"/>
  <c r="AL29" i="5"/>
  <c r="AI29" i="5"/>
  <c r="AF29" i="5"/>
  <c r="AC29" i="5"/>
  <c r="Z29" i="5"/>
  <c r="W29" i="5"/>
  <c r="T29" i="5"/>
  <c r="Q29" i="5"/>
  <c r="H29" i="5"/>
  <c r="G29" i="5"/>
  <c r="AM28" i="5"/>
  <c r="AL28" i="5"/>
  <c r="AI28" i="5"/>
  <c r="AF28" i="5"/>
  <c r="AC28" i="5"/>
  <c r="Z28" i="5"/>
  <c r="W28" i="5"/>
  <c r="T28" i="5"/>
  <c r="Q28" i="5"/>
  <c r="AM27" i="5"/>
  <c r="AL27" i="5"/>
  <c r="AI27" i="5"/>
  <c r="AF27" i="5"/>
  <c r="AC27" i="5"/>
  <c r="Z27" i="5"/>
  <c r="W27" i="5"/>
  <c r="T27" i="5"/>
  <c r="Q27" i="5"/>
  <c r="AM26" i="5"/>
  <c r="AL26" i="5"/>
  <c r="AI26" i="5"/>
  <c r="AF26" i="5"/>
  <c r="AC26" i="5"/>
  <c r="Z26" i="5"/>
  <c r="W26" i="5"/>
  <c r="T26" i="5"/>
  <c r="Q26" i="5"/>
  <c r="AM25" i="5"/>
  <c r="AL25" i="5"/>
  <c r="AI25" i="5"/>
  <c r="AF25" i="5"/>
  <c r="AC25" i="5"/>
  <c r="Z25" i="5"/>
  <c r="W25" i="5"/>
  <c r="T25" i="5"/>
  <c r="Q25" i="5"/>
  <c r="AM24" i="5"/>
  <c r="AO24" i="5" s="1"/>
  <c r="AQ24" i="5" s="1"/>
  <c r="AL24" i="5"/>
  <c r="AI24" i="5"/>
  <c r="AF24" i="5"/>
  <c r="AC24" i="5"/>
  <c r="Z24" i="5"/>
  <c r="W24" i="5"/>
  <c r="T24" i="5"/>
  <c r="Q24" i="5"/>
  <c r="H24" i="5"/>
  <c r="G24" i="5"/>
  <c r="AM23" i="5"/>
  <c r="AL23" i="5"/>
  <c r="AI23" i="5"/>
  <c r="AF23" i="5"/>
  <c r="AC23" i="5"/>
  <c r="Z23" i="5"/>
  <c r="W23" i="5"/>
  <c r="T23" i="5"/>
  <c r="Q23" i="5"/>
  <c r="AM22" i="5"/>
  <c r="AL22" i="5"/>
  <c r="AI22" i="5"/>
  <c r="AF22" i="5"/>
  <c r="AC22" i="5"/>
  <c r="Z22" i="5"/>
  <c r="W22" i="5"/>
  <c r="T22" i="5"/>
  <c r="Q22" i="5"/>
  <c r="AM21" i="5"/>
  <c r="AL21" i="5"/>
  <c r="AI21" i="5"/>
  <c r="AF21" i="5"/>
  <c r="AC21" i="5"/>
  <c r="Z21" i="5"/>
  <c r="W21" i="5"/>
  <c r="T21" i="5"/>
  <c r="Q21" i="5"/>
  <c r="AM20" i="5"/>
  <c r="AL20" i="5"/>
  <c r="AI20" i="5"/>
  <c r="AF20" i="5"/>
  <c r="AC20" i="5"/>
  <c r="Z20" i="5"/>
  <c r="W20" i="5"/>
  <c r="T20" i="5"/>
  <c r="Q20" i="5"/>
  <c r="AM19" i="5"/>
  <c r="AL19" i="5"/>
  <c r="AI19" i="5"/>
  <c r="AF19" i="5"/>
  <c r="AC19" i="5"/>
  <c r="Z19" i="5"/>
  <c r="W19" i="5"/>
  <c r="T19" i="5"/>
  <c r="Q19" i="5"/>
  <c r="AM18" i="5"/>
  <c r="AL18" i="5"/>
  <c r="AI18" i="5"/>
  <c r="AF18" i="5"/>
  <c r="AC18" i="5"/>
  <c r="Z18" i="5"/>
  <c r="W18" i="5"/>
  <c r="T18" i="5"/>
  <c r="Q18" i="5"/>
  <c r="AM17" i="5"/>
  <c r="AL17" i="5"/>
  <c r="AI17" i="5"/>
  <c r="AF17" i="5"/>
  <c r="AC17" i="5"/>
  <c r="Z17" i="5"/>
  <c r="W17" i="5"/>
  <c r="T17" i="5"/>
  <c r="Q17" i="5"/>
  <c r="AM16" i="5"/>
  <c r="AL16" i="5"/>
  <c r="AI16" i="5"/>
  <c r="AF16" i="5"/>
  <c r="AC16" i="5"/>
  <c r="Z16" i="5"/>
  <c r="W16" i="5"/>
  <c r="T16" i="5"/>
  <c r="Q16" i="5"/>
  <c r="AM15" i="5"/>
  <c r="AL15" i="5"/>
  <c r="AI15" i="5"/>
  <c r="AF15" i="5"/>
  <c r="AC15" i="5"/>
  <c r="Z15" i="5"/>
  <c r="W15" i="5"/>
  <c r="T15" i="5"/>
  <c r="Q15" i="5"/>
  <c r="AM14" i="5"/>
  <c r="AL14" i="5"/>
  <c r="AI14" i="5"/>
  <c r="AF14" i="5"/>
  <c r="AC14" i="5"/>
  <c r="Z14" i="5"/>
  <c r="W14" i="5"/>
  <c r="T14" i="5"/>
  <c r="Q14" i="5"/>
  <c r="AM13" i="5"/>
  <c r="AL13" i="5"/>
  <c r="AI13" i="5"/>
  <c r="AF13" i="5"/>
  <c r="AC13" i="5"/>
  <c r="Z13" i="5"/>
  <c r="W13" i="5"/>
  <c r="T13" i="5"/>
  <c r="Q13" i="5"/>
  <c r="AM12" i="5"/>
  <c r="AL12" i="5"/>
  <c r="AI12" i="5"/>
  <c r="AF12" i="5"/>
  <c r="AC12" i="5"/>
  <c r="Z12" i="5"/>
  <c r="W12" i="5"/>
  <c r="T12" i="5"/>
  <c r="Q12" i="5"/>
  <c r="AM11" i="5"/>
  <c r="AL11" i="5"/>
  <c r="AI11" i="5"/>
  <c r="AF11" i="5"/>
  <c r="AC11" i="5"/>
  <c r="Z11" i="5"/>
  <c r="W11" i="5"/>
  <c r="T11" i="5"/>
  <c r="Q11" i="5"/>
  <c r="AM10" i="5"/>
  <c r="AL10" i="5"/>
  <c r="AI10" i="5"/>
  <c r="AF10" i="5"/>
  <c r="AC10" i="5"/>
  <c r="Z10" i="5"/>
  <c r="W10" i="5"/>
  <c r="T10" i="5"/>
  <c r="Q10" i="5"/>
  <c r="AM9" i="5"/>
  <c r="AL9" i="5"/>
  <c r="AI9" i="5"/>
  <c r="AF9" i="5"/>
  <c r="AC9" i="5"/>
  <c r="Z9" i="5"/>
  <c r="W9" i="5"/>
  <c r="T9" i="5"/>
  <c r="Q9" i="5"/>
  <c r="AM8" i="5"/>
  <c r="AL8" i="5"/>
  <c r="AI8" i="5"/>
  <c r="AF8" i="5"/>
  <c r="AC8" i="5"/>
  <c r="Z8" i="5"/>
  <c r="W8" i="5"/>
  <c r="T8" i="5"/>
  <c r="Q8" i="5"/>
  <c r="AM7" i="5"/>
  <c r="AL7" i="5"/>
  <c r="AI7" i="5"/>
  <c r="AF7" i="5"/>
  <c r="AC7" i="5"/>
  <c r="Z7" i="5"/>
  <c r="W7" i="5"/>
  <c r="T7" i="5"/>
  <c r="Q7" i="5"/>
  <c r="AM6" i="5"/>
  <c r="AL6" i="5"/>
  <c r="AI6" i="5"/>
  <c r="AI99" i="5" s="1"/>
  <c r="AF6" i="5"/>
  <c r="AF99" i="5" s="1"/>
  <c r="AC6" i="5"/>
  <c r="AC99" i="5" s="1"/>
  <c r="Z6" i="5"/>
  <c r="Z99" i="5" s="1"/>
  <c r="W6" i="5"/>
  <c r="W99" i="5" s="1"/>
  <c r="T6" i="5"/>
  <c r="T99" i="5" s="1"/>
  <c r="Q6" i="5"/>
  <c r="Q99" i="5" s="1"/>
  <c r="G6" i="5"/>
  <c r="I32" i="4"/>
  <c r="I27" i="4"/>
  <c r="I26" i="4"/>
  <c r="K27" i="4"/>
  <c r="K29" i="4"/>
  <c r="I25" i="4"/>
  <c r="I23" i="4"/>
  <c r="I22" i="4"/>
  <c r="I20" i="4"/>
  <c r="I19" i="4"/>
  <c r="I18" i="4"/>
  <c r="I17" i="4"/>
  <c r="I16" i="4"/>
  <c r="I15" i="4"/>
  <c r="I14" i="4"/>
  <c r="I13" i="4"/>
  <c r="I12" i="4"/>
  <c r="I10" i="4"/>
  <c r="I9" i="4"/>
  <c r="I8" i="4"/>
  <c r="I6" i="4"/>
  <c r="I4" i="4"/>
  <c r="I2" i="4"/>
  <c r="H33" i="4"/>
  <c r="K2" i="4"/>
  <c r="K32" i="4"/>
  <c r="K24" i="4"/>
  <c r="K19" i="4"/>
  <c r="K12" i="4"/>
  <c r="K10" i="4"/>
  <c r="K9" i="4"/>
  <c r="K8" i="4"/>
  <c r="K6" i="4"/>
  <c r="K4" i="4"/>
  <c r="K33" i="4" s="1"/>
  <c r="G2" i="4"/>
  <c r="G13" i="4"/>
  <c r="G12" i="4"/>
  <c r="G17" i="4"/>
  <c r="G16" i="4"/>
  <c r="G18" i="4"/>
  <c r="G14" i="4"/>
  <c r="D33" i="4"/>
  <c r="Z14" i="2"/>
  <c r="L85" i="2"/>
  <c r="L84" i="2"/>
  <c r="L83" i="2"/>
  <c r="L82" i="2"/>
  <c r="L81" i="2"/>
  <c r="L77" i="2"/>
  <c r="L76" i="2"/>
  <c r="L75" i="2"/>
  <c r="L74" i="2"/>
  <c r="L73" i="2"/>
  <c r="L72" i="2"/>
  <c r="L35" i="2"/>
  <c r="L38" i="2"/>
  <c r="L37" i="2"/>
  <c r="AI27" i="2"/>
  <c r="AI26" i="2"/>
  <c r="AI25" i="2"/>
  <c r="AI24" i="2"/>
  <c r="AI23" i="2"/>
  <c r="AI19" i="2"/>
  <c r="AI18" i="2"/>
  <c r="AI16" i="2"/>
  <c r="AI15" i="2"/>
  <c r="AI14" i="2"/>
  <c r="E17" i="2"/>
  <c r="E28" i="2"/>
  <c r="E80" i="2"/>
  <c r="AM112" i="14" l="1"/>
  <c r="AO6" i="14"/>
  <c r="AN112" i="14"/>
  <c r="AP6" i="14"/>
  <c r="AO7" i="14"/>
  <c r="AO8" i="14"/>
  <c r="AO9" i="14"/>
  <c r="AO10" i="14"/>
  <c r="AO11" i="14"/>
  <c r="AO12" i="14"/>
  <c r="AO13" i="14"/>
  <c r="AO14" i="14"/>
  <c r="AO15" i="14"/>
  <c r="AO16" i="14"/>
  <c r="AO17" i="14"/>
  <c r="AO18" i="14"/>
  <c r="AO19" i="14"/>
  <c r="AO20" i="14"/>
  <c r="AO21" i="14"/>
  <c r="AO27" i="14"/>
  <c r="AO28" i="14"/>
  <c r="AO29" i="14"/>
  <c r="AQ29" i="14" s="1"/>
  <c r="AS29" i="14" s="1"/>
  <c r="AO31" i="14"/>
  <c r="AO32" i="14"/>
  <c r="AO33" i="14"/>
  <c r="AO34" i="14"/>
  <c r="AO35" i="14"/>
  <c r="AO36" i="14"/>
  <c r="AO37" i="14"/>
  <c r="AO38" i="14"/>
  <c r="AO39" i="14"/>
  <c r="AO40" i="14"/>
  <c r="AO41" i="14"/>
  <c r="AO42" i="14"/>
  <c r="AO43" i="14"/>
  <c r="AO44" i="14"/>
  <c r="AO45" i="14"/>
  <c r="AO46" i="14"/>
  <c r="AO47" i="14"/>
  <c r="AO48" i="14"/>
  <c r="AO49" i="14"/>
  <c r="AO50" i="14"/>
  <c r="AO51" i="14"/>
  <c r="AQ51" i="14" s="1"/>
  <c r="AS51" i="14" s="1"/>
  <c r="D112" i="14"/>
  <c r="H54" i="14"/>
  <c r="G54" i="14"/>
  <c r="AO54" i="14"/>
  <c r="AR54" i="14"/>
  <c r="AO57" i="14"/>
  <c r="AO58" i="14"/>
  <c r="H59" i="14"/>
  <c r="G59" i="14"/>
  <c r="AO59" i="14"/>
  <c r="AR59" i="14"/>
  <c r="AO60" i="14"/>
  <c r="AO61" i="14"/>
  <c r="AO62" i="14"/>
  <c r="AO63" i="14"/>
  <c r="H64" i="14"/>
  <c r="G64" i="14"/>
  <c r="AO64" i="14"/>
  <c r="AR64" i="14"/>
  <c r="AO65" i="14"/>
  <c r="AO66" i="14"/>
  <c r="AO67" i="14"/>
  <c r="AO68" i="14"/>
  <c r="AO69" i="14"/>
  <c r="AO70" i="14"/>
  <c r="AO71" i="14"/>
  <c r="AO72" i="14"/>
  <c r="H73" i="14"/>
  <c r="G73" i="14"/>
  <c r="AO73" i="14"/>
  <c r="AR73" i="14"/>
  <c r="AO74" i="14"/>
  <c r="AO75" i="14"/>
  <c r="AO76" i="14"/>
  <c r="AO77" i="14"/>
  <c r="H78" i="14"/>
  <c r="G78" i="14"/>
  <c r="AO78" i="14"/>
  <c r="AR78" i="14"/>
  <c r="AO79" i="14"/>
  <c r="AO80" i="14"/>
  <c r="AO81" i="14"/>
  <c r="AO82" i="14"/>
  <c r="AO83" i="14"/>
  <c r="AO84" i="14"/>
  <c r="AO85" i="14"/>
  <c r="H86" i="14"/>
  <c r="G86" i="14"/>
  <c r="AO86" i="14"/>
  <c r="AR86" i="14"/>
  <c r="AO87" i="14"/>
  <c r="AO88" i="14"/>
  <c r="AO89" i="14"/>
  <c r="AO90" i="14"/>
  <c r="AO91" i="14"/>
  <c r="AO92" i="14"/>
  <c r="AO93" i="14"/>
  <c r="AQ93" i="14" s="1"/>
  <c r="AS93" i="14" s="1"/>
  <c r="AO96" i="14"/>
  <c r="AQ96" i="14" s="1"/>
  <c r="AS96" i="14" s="1"/>
  <c r="AO98" i="14"/>
  <c r="AQ98" i="14" s="1"/>
  <c r="AS98" i="14" s="1"/>
  <c r="AO99" i="14"/>
  <c r="AO100" i="14"/>
  <c r="AO101" i="14"/>
  <c r="AO102" i="14"/>
  <c r="AO103" i="14"/>
  <c r="AO104" i="14"/>
  <c r="AO105" i="14"/>
  <c r="AO106" i="14"/>
  <c r="AO107" i="14"/>
  <c r="AO108" i="14"/>
  <c r="AO109" i="14"/>
  <c r="AO110" i="14"/>
  <c r="AQ110" i="14" s="1"/>
  <c r="AS110" i="14" s="1"/>
  <c r="AO111" i="14"/>
  <c r="AQ111" i="14" s="1"/>
  <c r="AS111" i="14" s="1"/>
  <c r="AC33" i="10"/>
  <c r="AE2" i="10"/>
  <c r="AD33" i="10"/>
  <c r="AD34" i="10" s="1"/>
  <c r="AG2" i="10"/>
  <c r="AF2" i="10"/>
  <c r="AE4" i="10"/>
  <c r="AH4" i="10" s="1"/>
  <c r="AG4" i="10"/>
  <c r="AF4" i="10"/>
  <c r="AE6" i="10"/>
  <c r="AH6" i="10" s="1"/>
  <c r="AG6" i="10"/>
  <c r="AF6" i="10"/>
  <c r="AE8" i="10"/>
  <c r="AH8" i="10" s="1"/>
  <c r="AG8" i="10"/>
  <c r="AF8" i="10"/>
  <c r="AE9" i="10"/>
  <c r="AH9" i="10" s="1"/>
  <c r="AG9" i="10"/>
  <c r="AF9" i="10"/>
  <c r="AE10" i="10"/>
  <c r="AH10" i="10" s="1"/>
  <c r="AG10" i="10"/>
  <c r="AF10" i="10"/>
  <c r="AE12" i="10"/>
  <c r="AG12" i="10"/>
  <c r="AF12" i="10"/>
  <c r="AE13" i="10"/>
  <c r="AG13" i="10"/>
  <c r="AF13" i="10"/>
  <c r="AE14" i="10"/>
  <c r="AG14" i="10"/>
  <c r="AF14" i="10"/>
  <c r="AE15" i="10"/>
  <c r="AG15" i="10"/>
  <c r="AF15" i="10"/>
  <c r="AE16" i="10"/>
  <c r="AG16" i="10"/>
  <c r="AF16" i="10"/>
  <c r="AE17" i="10"/>
  <c r="AG17" i="10"/>
  <c r="AF17" i="10"/>
  <c r="AE18" i="10"/>
  <c r="AG18" i="10"/>
  <c r="AF18" i="10"/>
  <c r="AE19" i="10"/>
  <c r="AG19" i="10"/>
  <c r="AF19" i="10"/>
  <c r="AE20" i="10"/>
  <c r="AG20" i="10"/>
  <c r="AF20" i="10"/>
  <c r="AE22" i="10"/>
  <c r="AG22" i="10"/>
  <c r="AF22" i="10"/>
  <c r="AE23" i="10"/>
  <c r="AG23" i="10"/>
  <c r="AF23" i="10"/>
  <c r="AG24" i="10"/>
  <c r="AE24" i="10"/>
  <c r="AE25" i="10"/>
  <c r="AE26" i="10"/>
  <c r="AE27" i="10"/>
  <c r="AH27" i="10" s="1"/>
  <c r="AG27" i="10"/>
  <c r="AF27" i="10"/>
  <c r="AE29" i="10"/>
  <c r="AH29" i="10" s="1"/>
  <c r="AG29" i="10"/>
  <c r="AF29" i="10"/>
  <c r="AE31" i="10"/>
  <c r="AH31" i="10" s="1"/>
  <c r="AE32" i="10"/>
  <c r="AH32" i="10" s="1"/>
  <c r="AG32" i="10"/>
  <c r="AF32" i="10"/>
  <c r="AL99" i="5"/>
  <c r="AN6" i="5"/>
  <c r="AM99" i="5"/>
  <c r="AO6" i="5"/>
  <c r="AN7" i="5"/>
  <c r="AN8" i="5"/>
  <c r="AN9" i="5"/>
  <c r="AN10" i="5"/>
  <c r="AN11" i="5"/>
  <c r="AN12" i="5"/>
  <c r="AN13" i="5"/>
  <c r="AN14" i="5"/>
  <c r="AN15" i="5"/>
  <c r="AN16" i="5"/>
  <c r="AN17" i="5"/>
  <c r="AN18" i="5"/>
  <c r="AN19" i="5"/>
  <c r="AN20" i="5"/>
  <c r="AN21" i="5"/>
  <c r="AN22" i="5"/>
  <c r="AN23" i="5"/>
  <c r="AN24" i="5"/>
  <c r="AN25" i="5"/>
  <c r="AN26" i="5"/>
  <c r="AN27" i="5"/>
  <c r="AN28" i="5"/>
  <c r="AN29" i="5"/>
  <c r="AN30" i="5"/>
  <c r="AN31" i="5"/>
  <c r="AN32" i="5"/>
  <c r="AN33" i="5"/>
  <c r="AN34" i="5"/>
  <c r="AN35" i="5"/>
  <c r="AN36" i="5"/>
  <c r="AN37" i="5"/>
  <c r="AN38" i="5"/>
  <c r="AN39" i="5"/>
  <c r="AP39" i="5" s="1"/>
  <c r="AR39" i="5" s="1"/>
  <c r="AN40" i="5"/>
  <c r="AP40" i="5" s="1"/>
  <c r="AR40" i="5" s="1"/>
  <c r="AN41" i="5"/>
  <c r="AP41" i="5" s="1"/>
  <c r="AR41" i="5" s="1"/>
  <c r="D99" i="5"/>
  <c r="H43" i="5"/>
  <c r="G43" i="5"/>
  <c r="AN43" i="5"/>
  <c r="AQ43" i="5"/>
  <c r="AN44" i="5"/>
  <c r="AN45" i="5"/>
  <c r="H46" i="5"/>
  <c r="G46" i="5"/>
  <c r="AN46" i="5"/>
  <c r="AQ46" i="5"/>
  <c r="AN47" i="5"/>
  <c r="AN48" i="5"/>
  <c r="AN49" i="5"/>
  <c r="AN50" i="5"/>
  <c r="H51" i="5"/>
  <c r="G51" i="5"/>
  <c r="AN51" i="5"/>
  <c r="AQ51" i="5"/>
  <c r="AN52" i="5"/>
  <c r="AN53" i="5"/>
  <c r="AN54" i="5"/>
  <c r="AN55" i="5"/>
  <c r="AN56" i="5"/>
  <c r="AN57" i="5"/>
  <c r="AN58" i="5"/>
  <c r="AN59" i="5"/>
  <c r="H60" i="5"/>
  <c r="G60" i="5"/>
  <c r="AN60" i="5"/>
  <c r="AQ60" i="5"/>
  <c r="AN61" i="5"/>
  <c r="AN62" i="5"/>
  <c r="AN63" i="5"/>
  <c r="AN64" i="5"/>
  <c r="H65" i="5"/>
  <c r="G65" i="5"/>
  <c r="AN65" i="5"/>
  <c r="AQ65" i="5"/>
  <c r="AN66" i="5"/>
  <c r="AN67" i="5"/>
  <c r="AN68" i="5"/>
  <c r="AN69" i="5"/>
  <c r="AN70" i="5"/>
  <c r="AN71" i="5"/>
  <c r="AN72" i="5"/>
  <c r="H73" i="5"/>
  <c r="G73" i="5"/>
  <c r="AN73" i="5"/>
  <c r="AQ73" i="5"/>
  <c r="AN74" i="5"/>
  <c r="AN75" i="5"/>
  <c r="AN76" i="5"/>
  <c r="AN77" i="5"/>
  <c r="AN78" i="5"/>
  <c r="AN79" i="5"/>
  <c r="AN80" i="5"/>
  <c r="AP80" i="5" s="1"/>
  <c r="AR80" i="5" s="1"/>
  <c r="AN81" i="5"/>
  <c r="AN82" i="5"/>
  <c r="AN83" i="5"/>
  <c r="AP83" i="5" s="1"/>
  <c r="AR83" i="5" s="1"/>
  <c r="AN84" i="5"/>
  <c r="AP84" i="5" s="1"/>
  <c r="AR84" i="5" s="1"/>
  <c r="AN85" i="5"/>
  <c r="AN86" i="5"/>
  <c r="AN87" i="5"/>
  <c r="AN88" i="5"/>
  <c r="AN89" i="5"/>
  <c r="AN90" i="5"/>
  <c r="AN91" i="5"/>
  <c r="AN92" i="5"/>
  <c r="AN93" i="5"/>
  <c r="AN94" i="5"/>
  <c r="AN95" i="5"/>
  <c r="AN96" i="5"/>
  <c r="AN97" i="5"/>
  <c r="AP97" i="5" s="1"/>
  <c r="AR97" i="5" s="1"/>
  <c r="AN98" i="5"/>
  <c r="AP98" i="5" s="1"/>
  <c r="AR98" i="5" s="1"/>
  <c r="H77" i="2"/>
  <c r="H74" i="2"/>
  <c r="H5" i="3"/>
  <c r="AQ108" i="14" l="1"/>
  <c r="AS108" i="14" s="1"/>
  <c r="AQ106" i="14"/>
  <c r="AS106" i="14" s="1"/>
  <c r="AQ103" i="14"/>
  <c r="AS103" i="14" s="1"/>
  <c r="AQ99" i="14"/>
  <c r="AS99" i="14" s="1"/>
  <c r="AQ86" i="14"/>
  <c r="AS86" i="14" s="1"/>
  <c r="AQ78" i="14"/>
  <c r="AS78" i="14" s="1"/>
  <c r="AQ73" i="14"/>
  <c r="AS73" i="14" s="1"/>
  <c r="AQ70" i="14"/>
  <c r="AS70" i="14" s="1"/>
  <c r="AQ64" i="14"/>
  <c r="AS64" i="14" s="1"/>
  <c r="AQ59" i="14"/>
  <c r="AS59" i="14" s="1"/>
  <c r="AQ54" i="14"/>
  <c r="AS54" i="14" s="1"/>
  <c r="G112" i="14"/>
  <c r="AQ46" i="14"/>
  <c r="AS46" i="14" s="1"/>
  <c r="AQ36" i="14"/>
  <c r="AS36" i="14" s="1"/>
  <c r="AQ31" i="14"/>
  <c r="AS31" i="14" s="1"/>
  <c r="AP112" i="14"/>
  <c r="AR6" i="14"/>
  <c r="AR112" i="14" s="1"/>
  <c r="AO112" i="14"/>
  <c r="AQ6" i="14"/>
  <c r="AH24" i="10"/>
  <c r="AH19" i="10"/>
  <c r="AH12" i="10"/>
  <c r="AF33" i="10"/>
  <c r="AG33" i="10"/>
  <c r="AE33" i="10"/>
  <c r="AE34" i="10" s="1"/>
  <c r="AH2" i="10"/>
  <c r="AH33" i="10" s="1"/>
  <c r="AP95" i="5"/>
  <c r="AR95" i="5" s="1"/>
  <c r="AP93" i="5"/>
  <c r="AR93" i="5" s="1"/>
  <c r="AP90" i="5"/>
  <c r="AR90" i="5" s="1"/>
  <c r="AP81" i="5"/>
  <c r="AR81" i="5" s="1"/>
  <c r="AP73" i="5"/>
  <c r="AR73" i="5" s="1"/>
  <c r="AP65" i="5"/>
  <c r="AR65" i="5" s="1"/>
  <c r="AP60" i="5"/>
  <c r="AR60" i="5" s="1"/>
  <c r="AP57" i="5"/>
  <c r="AR57" i="5" s="1"/>
  <c r="AP51" i="5"/>
  <c r="AR51" i="5" s="1"/>
  <c r="AP46" i="5"/>
  <c r="AR46" i="5" s="1"/>
  <c r="AP43" i="5"/>
  <c r="AR43" i="5" s="1"/>
  <c r="G99" i="5"/>
  <c r="AP29" i="5"/>
  <c r="AR29" i="5" s="1"/>
  <c r="AP24" i="5"/>
  <c r="AR24" i="5" s="1"/>
  <c r="AO99" i="5"/>
  <c r="AQ6" i="5"/>
  <c r="AQ99" i="5" s="1"/>
  <c r="AN99" i="5"/>
  <c r="AP6" i="5"/>
  <c r="E19" i="3"/>
  <c r="G37" i="2"/>
  <c r="I37" i="2" s="1"/>
  <c r="K37" i="2" s="1"/>
  <c r="AW28" i="2"/>
  <c r="AW27" i="2"/>
  <c r="AW26" i="2"/>
  <c r="AW25" i="2"/>
  <c r="AW24" i="2"/>
  <c r="AW23" i="2"/>
  <c r="AW22" i="2"/>
  <c r="AW21" i="2"/>
  <c r="AW20" i="2"/>
  <c r="AW19" i="2"/>
  <c r="AW18" i="2"/>
  <c r="AW17" i="2"/>
  <c r="AW16" i="2"/>
  <c r="AW15" i="2"/>
  <c r="AW14" i="2"/>
  <c r="AW29" i="2" s="1"/>
  <c r="AQ112" i="14" l="1"/>
  <c r="AS6" i="14"/>
  <c r="AS112" i="14" s="1"/>
  <c r="AP99" i="5"/>
  <c r="AR6" i="5"/>
  <c r="AR99" i="5" s="1"/>
  <c r="N37" i="2"/>
  <c r="M37" i="2"/>
  <c r="AC37" i="2" l="1"/>
  <c r="Q37" i="2"/>
  <c r="P37" i="2"/>
  <c r="O37" i="2"/>
  <c r="R37" i="2"/>
  <c r="AD37" i="2" l="1"/>
  <c r="S37" i="2"/>
  <c r="X37" i="2" l="1"/>
  <c r="W37" i="2"/>
  <c r="V37" i="2"/>
  <c r="U37" i="2"/>
  <c r="T37" i="2"/>
  <c r="Y37" i="2" s="1"/>
  <c r="AE37" i="2" l="1"/>
  <c r="Z37" i="2"/>
  <c r="AA37" i="2" l="1"/>
  <c r="AF37" i="2" l="1"/>
  <c r="AG37" i="2" s="1"/>
  <c r="AB37" i="2"/>
  <c r="AR20" i="2" l="1"/>
  <c r="AR19" i="2"/>
  <c r="AR18" i="2"/>
  <c r="AR17" i="2"/>
  <c r="AR16" i="2"/>
  <c r="AR15" i="2"/>
  <c r="AR14" i="2"/>
  <c r="F18" i="3"/>
  <c r="E18" i="3"/>
  <c r="A5" i="3"/>
  <c r="A4" i="3"/>
  <c r="AJ21" i="2"/>
  <c r="AJ20" i="2"/>
  <c r="L86" i="2"/>
  <c r="AP22" i="2"/>
  <c r="AP21" i="2"/>
  <c r="AO22" i="2"/>
  <c r="G16" i="2"/>
  <c r="I16" i="2" s="1"/>
  <c r="K16" i="2" s="1"/>
  <c r="E74" i="2" s="1"/>
  <c r="B5" i="3" s="1"/>
  <c r="G5" i="3" s="1"/>
  <c r="AV14" i="2" l="1"/>
  <c r="AT14" i="2"/>
  <c r="AU14" i="2" s="1"/>
  <c r="AV15" i="2"/>
  <c r="AT15" i="2"/>
  <c r="AU15" i="2" s="1"/>
  <c r="AV16" i="2"/>
  <c r="AT16" i="2"/>
  <c r="AU16" i="2" s="1"/>
  <c r="AV17" i="2"/>
  <c r="AT17" i="2"/>
  <c r="AU17" i="2" s="1"/>
  <c r="AV18" i="2"/>
  <c r="AT18" i="2"/>
  <c r="AU18" i="2" s="1"/>
  <c r="AV19" i="2"/>
  <c r="AT19" i="2"/>
  <c r="AU19" i="2" s="1"/>
  <c r="F74" i="2"/>
  <c r="M74" i="2"/>
  <c r="N16" i="2"/>
  <c r="M16" i="2"/>
  <c r="C5" i="3" l="1"/>
  <c r="D5" i="3" s="1"/>
  <c r="G74" i="2"/>
  <c r="J74" i="2" s="1"/>
  <c r="K74" i="2" s="1"/>
  <c r="AJ16" i="2"/>
  <c r="AC16" i="2"/>
  <c r="Q16" i="2"/>
  <c r="P16" i="2"/>
  <c r="O16" i="2"/>
  <c r="R16" i="2"/>
  <c r="AD16" i="2" l="1"/>
  <c r="S16" i="2"/>
  <c r="X16" i="2" l="1"/>
  <c r="W16" i="2"/>
  <c r="V16" i="2"/>
  <c r="U16" i="2"/>
  <c r="T16" i="2"/>
  <c r="Y16" i="2" s="1"/>
  <c r="AE16" i="2" l="1"/>
  <c r="Z16" i="2"/>
  <c r="AA16" i="2" l="1"/>
  <c r="AF16" i="2" l="1"/>
  <c r="AG16" i="2" s="1"/>
  <c r="AB16" i="2"/>
  <c r="Q86" i="2" l="1"/>
  <c r="Q85" i="2"/>
  <c r="Q84" i="2"/>
  <c r="Q83" i="2"/>
  <c r="Q82" i="2"/>
  <c r="Q81" i="2"/>
  <c r="Q77" i="2"/>
  <c r="Q76" i="2"/>
  <c r="Q75" i="2"/>
  <c r="Q73" i="2"/>
  <c r="Q72" i="2"/>
  <c r="L21" i="2" l="1"/>
  <c r="AR21" i="2" s="1"/>
  <c r="L22" i="2"/>
  <c r="AR22" i="2" s="1"/>
  <c r="AR23" i="2"/>
  <c r="L24" i="2"/>
  <c r="AR24" i="2" s="1"/>
  <c r="L25" i="2"/>
  <c r="AR25" i="2" s="1"/>
  <c r="L26" i="2"/>
  <c r="AR26" i="2" s="1"/>
  <c r="L27" i="2"/>
  <c r="AR27" i="2" s="1"/>
  <c r="AR28" i="2"/>
  <c r="F120" i="2"/>
  <c r="D86" i="2"/>
  <c r="A17" i="3" s="1"/>
  <c r="D85" i="2"/>
  <c r="A16" i="3" s="1"/>
  <c r="D84" i="2"/>
  <c r="A15" i="3" s="1"/>
  <c r="D83" i="2"/>
  <c r="A14" i="3" s="1"/>
  <c r="D82" i="2"/>
  <c r="A13" i="3" s="1"/>
  <c r="D81" i="2"/>
  <c r="A12" i="3" s="1"/>
  <c r="D80" i="2"/>
  <c r="A11" i="3" s="1"/>
  <c r="D79" i="2"/>
  <c r="A10" i="3" s="1"/>
  <c r="E78" i="2"/>
  <c r="D78" i="2"/>
  <c r="A9" i="3" s="1"/>
  <c r="D77" i="2"/>
  <c r="A8" i="3" s="1"/>
  <c r="D76" i="2"/>
  <c r="A7" i="3" s="1"/>
  <c r="D75" i="2"/>
  <c r="A6" i="3" s="1"/>
  <c r="D72" i="2"/>
  <c r="A3" i="3" s="1"/>
  <c r="A62" i="2"/>
  <c r="I61" i="2"/>
  <c r="H61" i="2"/>
  <c r="F61" i="2"/>
  <c r="E61" i="2"/>
  <c r="E60" i="2"/>
  <c r="D60" i="2"/>
  <c r="E59" i="2"/>
  <c r="D59" i="2"/>
  <c r="E58" i="2"/>
  <c r="D58" i="2"/>
  <c r="E57" i="2"/>
  <c r="D57" i="2"/>
  <c r="AG54" i="2"/>
  <c r="G51" i="2"/>
  <c r="I51" i="2" s="1"/>
  <c r="K51" i="2" s="1"/>
  <c r="M51" i="2" s="1"/>
  <c r="G50" i="2"/>
  <c r="I50" i="2" s="1"/>
  <c r="K50" i="2" s="1"/>
  <c r="G49" i="2"/>
  <c r="I49" i="2" s="1"/>
  <c r="K49" i="2" s="1"/>
  <c r="G48" i="2"/>
  <c r="I48" i="2" s="1"/>
  <c r="K48" i="2" s="1"/>
  <c r="N47" i="2"/>
  <c r="G47" i="2"/>
  <c r="I47" i="2" s="1"/>
  <c r="K47" i="2" s="1"/>
  <c r="M47" i="2" s="1"/>
  <c r="AG44" i="2"/>
  <c r="G41" i="2"/>
  <c r="I41" i="2" s="1"/>
  <c r="K41" i="2" s="1"/>
  <c r="M41" i="2" s="1"/>
  <c r="G40" i="2"/>
  <c r="I40" i="2" s="1"/>
  <c r="K40" i="2" s="1"/>
  <c r="G39" i="2"/>
  <c r="I39" i="2" s="1"/>
  <c r="K39" i="2" s="1"/>
  <c r="G38" i="2"/>
  <c r="I38" i="2" s="1"/>
  <c r="K38" i="2" s="1"/>
  <c r="L36" i="2"/>
  <c r="G36" i="2"/>
  <c r="I36" i="2" s="1"/>
  <c r="K36" i="2" s="1"/>
  <c r="N35" i="2"/>
  <c r="G35" i="2"/>
  <c r="I35" i="2" s="1"/>
  <c r="K35" i="2" s="1"/>
  <c r="M35" i="2" s="1"/>
  <c r="AG33" i="2"/>
  <c r="AG32" i="2"/>
  <c r="Q32" i="2"/>
  <c r="Q44" i="2" s="1"/>
  <c r="N29" i="2"/>
  <c r="M29" i="2"/>
  <c r="G28" i="2"/>
  <c r="I28" i="2" s="1"/>
  <c r="K28" i="2" s="1"/>
  <c r="G27" i="2"/>
  <c r="I27" i="2" s="1"/>
  <c r="K27" i="2" s="1"/>
  <c r="F85" i="2" s="1"/>
  <c r="C16" i="3" s="1"/>
  <c r="G26" i="2"/>
  <c r="I26" i="2" s="1"/>
  <c r="K26" i="2" s="1"/>
  <c r="F84" i="2" s="1"/>
  <c r="C15" i="3" s="1"/>
  <c r="G25" i="2"/>
  <c r="I25" i="2" s="1"/>
  <c r="K25" i="2" s="1"/>
  <c r="F83" i="2" s="1"/>
  <c r="C14" i="3" s="1"/>
  <c r="G24" i="2"/>
  <c r="I24" i="2" s="1"/>
  <c r="K24" i="2" s="1"/>
  <c r="F82" i="2" s="1"/>
  <c r="C13" i="3" s="1"/>
  <c r="G23" i="2"/>
  <c r="I23" i="2" s="1"/>
  <c r="K23" i="2" s="1"/>
  <c r="F81" i="2" s="1"/>
  <c r="C12" i="3" s="1"/>
  <c r="N22" i="2"/>
  <c r="G22" i="2"/>
  <c r="I22" i="2" s="1"/>
  <c r="K22" i="2" s="1"/>
  <c r="G21" i="2"/>
  <c r="I21" i="2" s="1"/>
  <c r="K21" i="2" s="1"/>
  <c r="M21" i="2" s="1"/>
  <c r="G20" i="2"/>
  <c r="I20" i="2" s="1"/>
  <c r="AL19" i="2"/>
  <c r="G19" i="2"/>
  <c r="I19" i="2" s="1"/>
  <c r="K19" i="2" s="1"/>
  <c r="AN18" i="2"/>
  <c r="G18" i="2"/>
  <c r="I18" i="2" s="1"/>
  <c r="K18" i="2" s="1"/>
  <c r="F76" i="2" s="1"/>
  <c r="C7" i="3" s="1"/>
  <c r="G17" i="2"/>
  <c r="I17" i="2" s="1"/>
  <c r="K17" i="2" s="1"/>
  <c r="AI17" i="2" s="1"/>
  <c r="F75" i="2" s="1"/>
  <c r="C6" i="3" s="1"/>
  <c r="G15" i="2"/>
  <c r="I15" i="2" s="1"/>
  <c r="K15" i="2" s="1"/>
  <c r="C15" i="2"/>
  <c r="C17" i="2" s="1"/>
  <c r="C18" i="2" s="1"/>
  <c r="C19" i="2" s="1"/>
  <c r="G14" i="2"/>
  <c r="I14" i="2" s="1"/>
  <c r="K14" i="2" s="1"/>
  <c r="Y10" i="2"/>
  <c r="J83" i="1"/>
  <c r="K83" i="1" s="1"/>
  <c r="J82" i="1"/>
  <c r="K82" i="1" s="1"/>
  <c r="J81" i="1"/>
  <c r="K81" i="1" s="1"/>
  <c r="J80" i="1"/>
  <c r="K80" i="1" s="1"/>
  <c r="J79" i="1"/>
  <c r="K79" i="1" s="1"/>
  <c r="J78" i="1"/>
  <c r="K78" i="1" s="1"/>
  <c r="J74" i="1"/>
  <c r="K74" i="1" s="1"/>
  <c r="J73" i="1"/>
  <c r="K73" i="1" s="1"/>
  <c r="J72" i="1"/>
  <c r="K72" i="1" s="1"/>
  <c r="J71" i="1"/>
  <c r="K71" i="1" s="1"/>
  <c r="K70" i="1"/>
  <c r="J70" i="1"/>
  <c r="I77" i="1"/>
  <c r="I76" i="1"/>
  <c r="I75" i="1"/>
  <c r="E64" i="1"/>
  <c r="AI19" i="1"/>
  <c r="AI20" i="1"/>
  <c r="AI21" i="1"/>
  <c r="AN21" i="1"/>
  <c r="AN20" i="1"/>
  <c r="AN19" i="1"/>
  <c r="AM18" i="1"/>
  <c r="AL18" i="1"/>
  <c r="Z21" i="1"/>
  <c r="Z20" i="1"/>
  <c r="Z19" i="1"/>
  <c r="Z5" i="1"/>
  <c r="AA5" i="1" s="1"/>
  <c r="E75" i="1"/>
  <c r="E76" i="1" s="1"/>
  <c r="E77" i="1" s="1"/>
  <c r="G19" i="1"/>
  <c r="G20" i="1"/>
  <c r="G21" i="1"/>
  <c r="AN17" i="1"/>
  <c r="D77" i="1"/>
  <c r="D76" i="1"/>
  <c r="D75" i="1"/>
  <c r="AI28" i="2" l="1"/>
  <c r="F86" i="2" s="1"/>
  <c r="C17" i="3" s="1"/>
  <c r="K31" i="2"/>
  <c r="F72" i="2"/>
  <c r="C3" i="3" s="1"/>
  <c r="AJ14" i="2"/>
  <c r="K20" i="2"/>
  <c r="M20" i="2" s="1"/>
  <c r="E79" i="2"/>
  <c r="B9" i="3"/>
  <c r="G9" i="3" s="1"/>
  <c r="AV28" i="2"/>
  <c r="AT28" i="2"/>
  <c r="AU28" i="2" s="1"/>
  <c r="AV27" i="2"/>
  <c r="AT27" i="2"/>
  <c r="AU27" i="2" s="1"/>
  <c r="AV26" i="2"/>
  <c r="AT26" i="2"/>
  <c r="AU26" i="2" s="1"/>
  <c r="AV25" i="2"/>
  <c r="AT25" i="2"/>
  <c r="AU25" i="2" s="1"/>
  <c r="AV24" i="2"/>
  <c r="AT24" i="2"/>
  <c r="AU24" i="2" s="1"/>
  <c r="AV23" i="2"/>
  <c r="AV29" i="2" s="1"/>
  <c r="AX29" i="2" s="1"/>
  <c r="AX30" i="2" s="1"/>
  <c r="AT23" i="2"/>
  <c r="AU23" i="2" s="1"/>
  <c r="AU29" i="2" s="1"/>
  <c r="F73" i="2"/>
  <c r="C4" i="3" s="1"/>
  <c r="E73" i="2"/>
  <c r="B4" i="3" s="1"/>
  <c r="G4" i="3" s="1"/>
  <c r="C23" i="2"/>
  <c r="C24" i="2" s="1"/>
  <c r="C25" i="2" s="1"/>
  <c r="C26" i="2" s="1"/>
  <c r="C27" i="2" s="1"/>
  <c r="C28" i="2" s="1"/>
  <c r="E72" i="2"/>
  <c r="B3" i="3" s="1"/>
  <c r="K55" i="2"/>
  <c r="M14" i="2"/>
  <c r="N15" i="2"/>
  <c r="M15" i="2"/>
  <c r="E75" i="2"/>
  <c r="B6" i="3" s="1"/>
  <c r="N17" i="2"/>
  <c r="M17" i="2"/>
  <c r="E76" i="2"/>
  <c r="B7" i="3" s="1"/>
  <c r="N18" i="2"/>
  <c r="M18" i="2"/>
  <c r="E77" i="2"/>
  <c r="B8" i="3" s="1"/>
  <c r="G8" i="3" s="1"/>
  <c r="N19" i="2"/>
  <c r="M19" i="2"/>
  <c r="AL21" i="2"/>
  <c r="AL20" i="2"/>
  <c r="AM20" i="2" s="1"/>
  <c r="AM19" i="2"/>
  <c r="AM21" i="2" s="1"/>
  <c r="AC20" i="2"/>
  <c r="Q20" i="2"/>
  <c r="P20" i="2"/>
  <c r="O20" i="2"/>
  <c r="R20" i="2" s="1"/>
  <c r="AC21" i="2"/>
  <c r="Q21" i="2"/>
  <c r="P21" i="2"/>
  <c r="O21" i="2"/>
  <c r="R21" i="2" s="1"/>
  <c r="M22" i="2"/>
  <c r="E81" i="2"/>
  <c r="B12" i="3" s="1"/>
  <c r="N23" i="2"/>
  <c r="M23" i="2"/>
  <c r="E82" i="2"/>
  <c r="B13" i="3" s="1"/>
  <c r="N24" i="2"/>
  <c r="M24" i="2"/>
  <c r="E83" i="2"/>
  <c r="B14" i="3" s="1"/>
  <c r="N25" i="2"/>
  <c r="M25" i="2"/>
  <c r="E84" i="2"/>
  <c r="B15" i="3" s="1"/>
  <c r="N26" i="2"/>
  <c r="M26" i="2"/>
  <c r="E85" i="2"/>
  <c r="B16" i="3" s="1"/>
  <c r="N27" i="2"/>
  <c r="M27" i="2"/>
  <c r="E86" i="2"/>
  <c r="N28" i="2"/>
  <c r="M28" i="2"/>
  <c r="AC35" i="2"/>
  <c r="Q35" i="2"/>
  <c r="P35" i="2"/>
  <c r="O35" i="2"/>
  <c r="R35" i="2"/>
  <c r="S35" i="2" s="1"/>
  <c r="N36" i="2"/>
  <c r="M36" i="2"/>
  <c r="N38" i="2"/>
  <c r="M38" i="2"/>
  <c r="N39" i="2"/>
  <c r="M39" i="2"/>
  <c r="N40" i="2"/>
  <c r="M40" i="2"/>
  <c r="AC41" i="2"/>
  <c r="Q41" i="2"/>
  <c r="P41" i="2"/>
  <c r="O41" i="2"/>
  <c r="N41" i="2"/>
  <c r="R41" i="2" s="1"/>
  <c r="S41" i="2" s="1"/>
  <c r="L50" i="2"/>
  <c r="AC47" i="2"/>
  <c r="Q47" i="2"/>
  <c r="P47" i="2"/>
  <c r="O47" i="2"/>
  <c r="R47" i="2"/>
  <c r="N48" i="2"/>
  <c r="M48" i="2"/>
  <c r="N49" i="2"/>
  <c r="M49" i="2"/>
  <c r="N50" i="2"/>
  <c r="M50" i="2"/>
  <c r="AC51" i="2"/>
  <c r="Q51" i="2"/>
  <c r="P51" i="2"/>
  <c r="O51" i="2"/>
  <c r="N51" i="2"/>
  <c r="R51" i="2" s="1"/>
  <c r="L20" i="1"/>
  <c r="L21" i="1" s="1"/>
  <c r="N21" i="1"/>
  <c r="I21" i="1"/>
  <c r="K21" i="1" s="1"/>
  <c r="I20" i="1"/>
  <c r="K20" i="1" s="1"/>
  <c r="I19" i="1"/>
  <c r="K19" i="1" s="1"/>
  <c r="M19" i="1" s="1"/>
  <c r="P19" i="1" s="1"/>
  <c r="B17" i="3" l="1"/>
  <c r="E87" i="2"/>
  <c r="M43" i="2"/>
  <c r="G17" i="3"/>
  <c r="D17" i="3"/>
  <c r="G16" i="3"/>
  <c r="D16" i="3"/>
  <c r="G15" i="3"/>
  <c r="D15" i="3"/>
  <c r="G14" i="3"/>
  <c r="D14" i="3"/>
  <c r="G13" i="3"/>
  <c r="D13" i="3"/>
  <c r="G12" i="3"/>
  <c r="D12" i="3"/>
  <c r="G7" i="3"/>
  <c r="D7" i="3"/>
  <c r="G6" i="3"/>
  <c r="D6" i="3"/>
  <c r="G3" i="3"/>
  <c r="D4" i="3"/>
  <c r="B11" i="3"/>
  <c r="G11" i="3" s="1"/>
  <c r="B10" i="3"/>
  <c r="D3" i="3"/>
  <c r="AJ19" i="2"/>
  <c r="F77" i="2"/>
  <c r="C8" i="3" s="1"/>
  <c r="E88" i="2"/>
  <c r="G73" i="2"/>
  <c r="J73" i="2" s="1"/>
  <c r="R86" i="2"/>
  <c r="M86" i="2"/>
  <c r="G85" i="2"/>
  <c r="R85" i="2"/>
  <c r="M85" i="2"/>
  <c r="G84" i="2"/>
  <c r="R84" i="2"/>
  <c r="M84" i="2"/>
  <c r="G83" i="2"/>
  <c r="R83" i="2"/>
  <c r="M83" i="2"/>
  <c r="G82" i="2"/>
  <c r="R82" i="2"/>
  <c r="M82" i="2"/>
  <c r="G81" i="2"/>
  <c r="R81" i="2"/>
  <c r="M81" i="2"/>
  <c r="G77" i="2"/>
  <c r="R77" i="2"/>
  <c r="M77" i="2"/>
  <c r="G76" i="2"/>
  <c r="R76" i="2"/>
  <c r="M76" i="2"/>
  <c r="G75" i="2"/>
  <c r="R75" i="2"/>
  <c r="M75" i="2"/>
  <c r="R73" i="2"/>
  <c r="M73" i="2"/>
  <c r="R72" i="2"/>
  <c r="M72" i="2"/>
  <c r="AD51" i="2"/>
  <c r="S51" i="2"/>
  <c r="AC50" i="2"/>
  <c r="Q50" i="2"/>
  <c r="P50" i="2"/>
  <c r="O50" i="2"/>
  <c r="R50" i="2"/>
  <c r="AC49" i="2"/>
  <c r="Q49" i="2"/>
  <c r="P49" i="2"/>
  <c r="O49" i="2"/>
  <c r="R49" i="2"/>
  <c r="AC48" i="2"/>
  <c r="Q48" i="2"/>
  <c r="P48" i="2"/>
  <c r="O48" i="2"/>
  <c r="M53" i="2"/>
  <c r="R48" i="2"/>
  <c r="N53" i="2"/>
  <c r="R53" i="2"/>
  <c r="AD47" i="2"/>
  <c r="S47" i="2"/>
  <c r="O53" i="2"/>
  <c r="P53" i="2"/>
  <c r="Q53" i="2"/>
  <c r="AC53" i="2"/>
  <c r="AD41" i="2"/>
  <c r="AC40" i="2"/>
  <c r="Q40" i="2"/>
  <c r="P40" i="2"/>
  <c r="O40" i="2"/>
  <c r="R40" i="2"/>
  <c r="S40" i="2" s="1"/>
  <c r="AC39" i="2"/>
  <c r="Q39" i="2"/>
  <c r="P39" i="2"/>
  <c r="O39" i="2"/>
  <c r="R39" i="2"/>
  <c r="S39" i="2" s="1"/>
  <c r="AC38" i="2"/>
  <c r="Q38" i="2"/>
  <c r="P38" i="2"/>
  <c r="O38" i="2"/>
  <c r="R38" i="2"/>
  <c r="S38" i="2" s="1"/>
  <c r="AC36" i="2"/>
  <c r="Q36" i="2"/>
  <c r="P36" i="2"/>
  <c r="O36" i="2"/>
  <c r="R36" i="2"/>
  <c r="S36" i="2" s="1"/>
  <c r="N43" i="2"/>
  <c r="R43" i="2"/>
  <c r="AD35" i="2"/>
  <c r="O43" i="2"/>
  <c r="P43" i="2"/>
  <c r="Q43" i="2"/>
  <c r="AC43" i="2"/>
  <c r="AC28" i="2"/>
  <c r="Q28" i="2"/>
  <c r="P28" i="2"/>
  <c r="O28" i="2"/>
  <c r="R28" i="2"/>
  <c r="AJ28" i="2"/>
  <c r="AC27" i="2"/>
  <c r="Q27" i="2"/>
  <c r="P27" i="2"/>
  <c r="O27" i="2"/>
  <c r="R27" i="2"/>
  <c r="AJ27" i="2"/>
  <c r="AC26" i="2"/>
  <c r="Q26" i="2"/>
  <c r="P26" i="2"/>
  <c r="O26" i="2"/>
  <c r="R26" i="2"/>
  <c r="AJ26" i="2"/>
  <c r="AC25" i="2"/>
  <c r="Q25" i="2"/>
  <c r="P25" i="2"/>
  <c r="O25" i="2"/>
  <c r="R25" i="2"/>
  <c r="AJ25" i="2"/>
  <c r="AC24" i="2"/>
  <c r="Q24" i="2"/>
  <c r="P24" i="2"/>
  <c r="O24" i="2"/>
  <c r="R24" i="2"/>
  <c r="AJ24" i="2"/>
  <c r="AC23" i="2"/>
  <c r="Q23" i="2"/>
  <c r="P23" i="2"/>
  <c r="O23" i="2"/>
  <c r="R23" i="2"/>
  <c r="AJ23" i="2"/>
  <c r="AC22" i="2"/>
  <c r="Q22" i="2"/>
  <c r="P22" i="2"/>
  <c r="O22" i="2"/>
  <c r="R22" i="2" s="1"/>
  <c r="AD21" i="2"/>
  <c r="S21" i="2"/>
  <c r="AD20" i="2"/>
  <c r="S20" i="2"/>
  <c r="AC19" i="2"/>
  <c r="Q19" i="2"/>
  <c r="P19" i="2"/>
  <c r="O19" i="2"/>
  <c r="R19" i="2"/>
  <c r="AO20" i="2"/>
  <c r="AC18" i="2"/>
  <c r="Q18" i="2"/>
  <c r="P18" i="2"/>
  <c r="O18" i="2"/>
  <c r="R18" i="2"/>
  <c r="AJ18" i="2"/>
  <c r="AC17" i="2"/>
  <c r="Q17" i="2"/>
  <c r="P17" i="2"/>
  <c r="O17" i="2"/>
  <c r="R17" i="2"/>
  <c r="AJ17" i="2"/>
  <c r="AC15" i="2"/>
  <c r="Q15" i="2"/>
  <c r="P15" i="2"/>
  <c r="O15" i="2"/>
  <c r="N31" i="2"/>
  <c r="R15" i="2"/>
  <c r="AJ15" i="2"/>
  <c r="M31" i="2"/>
  <c r="AC14" i="2"/>
  <c r="AC31" i="2" s="1"/>
  <c r="Q14" i="2"/>
  <c r="Q31" i="2" s="1"/>
  <c r="P14" i="2"/>
  <c r="P31" i="2" s="1"/>
  <c r="O14" i="2"/>
  <c r="G72" i="2"/>
  <c r="AL20" i="1"/>
  <c r="AL19" i="1"/>
  <c r="AM19" i="1" s="1"/>
  <c r="M20" i="1"/>
  <c r="M21" i="1"/>
  <c r="D8" i="3" l="1"/>
  <c r="G10" i="3"/>
  <c r="B18" i="3"/>
  <c r="B19" i="3" s="1"/>
  <c r="O72" i="2"/>
  <c r="P72" i="2" s="1"/>
  <c r="J72" i="2"/>
  <c r="K72" i="2" s="1"/>
  <c r="K73" i="2"/>
  <c r="O73" i="2"/>
  <c r="P73" i="2" s="1"/>
  <c r="J75" i="2"/>
  <c r="K75" i="2" s="1"/>
  <c r="O75" i="2"/>
  <c r="P75" i="2" s="1"/>
  <c r="J76" i="2"/>
  <c r="K76" i="2" s="1"/>
  <c r="O76" i="2"/>
  <c r="P76" i="2" s="1"/>
  <c r="J77" i="2"/>
  <c r="K77" i="2" s="1"/>
  <c r="O77" i="2"/>
  <c r="P77" i="2" s="1"/>
  <c r="J81" i="2"/>
  <c r="K81" i="2" s="1"/>
  <c r="O81" i="2"/>
  <c r="P81" i="2" s="1"/>
  <c r="J82" i="2"/>
  <c r="K82" i="2" s="1"/>
  <c r="O82" i="2"/>
  <c r="P82" i="2" s="1"/>
  <c r="J83" i="2"/>
  <c r="K83" i="2" s="1"/>
  <c r="O83" i="2"/>
  <c r="P83" i="2" s="1"/>
  <c r="J84" i="2"/>
  <c r="K84" i="2" s="1"/>
  <c r="O84" i="2"/>
  <c r="P84" i="2" s="1"/>
  <c r="J85" i="2"/>
  <c r="K85" i="2" s="1"/>
  <c r="O85" i="2"/>
  <c r="P85" i="2" s="1"/>
  <c r="O86" i="2"/>
  <c r="P86" i="2" s="1"/>
  <c r="J86" i="2"/>
  <c r="K86" i="2" s="1"/>
  <c r="O31" i="2"/>
  <c r="R14" i="2"/>
  <c r="AD15" i="2"/>
  <c r="S15" i="2"/>
  <c r="AD17" i="2"/>
  <c r="S17" i="2"/>
  <c r="AD18" i="2"/>
  <c r="S18" i="2"/>
  <c r="AD19" i="2"/>
  <c r="S19" i="2"/>
  <c r="X20" i="2"/>
  <c r="W20" i="2"/>
  <c r="V20" i="2"/>
  <c r="U20" i="2"/>
  <c r="T20" i="2"/>
  <c r="Y20" i="2" s="1"/>
  <c r="X21" i="2"/>
  <c r="W21" i="2"/>
  <c r="V21" i="2"/>
  <c r="U21" i="2"/>
  <c r="T21" i="2"/>
  <c r="Y21" i="2" s="1"/>
  <c r="AD22" i="2"/>
  <c r="S22" i="2"/>
  <c r="AD23" i="2"/>
  <c r="S23" i="2"/>
  <c r="AD24" i="2"/>
  <c r="S24" i="2"/>
  <c r="AD25" i="2"/>
  <c r="S25" i="2"/>
  <c r="AD26" i="2"/>
  <c r="S26" i="2"/>
  <c r="AD27" i="2"/>
  <c r="S27" i="2"/>
  <c r="AD28" i="2"/>
  <c r="S28" i="2"/>
  <c r="X35" i="2"/>
  <c r="W35" i="2"/>
  <c r="V35" i="2"/>
  <c r="U35" i="2"/>
  <c r="T35" i="2"/>
  <c r="AD36" i="2"/>
  <c r="AD38" i="2"/>
  <c r="AD39" i="2"/>
  <c r="AD40" i="2"/>
  <c r="X41" i="2"/>
  <c r="W41" i="2"/>
  <c r="V41" i="2"/>
  <c r="U41" i="2"/>
  <c r="T41" i="2"/>
  <c r="Y41" i="2" s="1"/>
  <c r="Z41" i="2" s="1"/>
  <c r="AC55" i="2"/>
  <c r="Q55" i="2"/>
  <c r="X47" i="2"/>
  <c r="W47" i="2"/>
  <c r="V47" i="2"/>
  <c r="U47" i="2"/>
  <c r="T47" i="2"/>
  <c r="AD48" i="2"/>
  <c r="S48" i="2"/>
  <c r="M55" i="2"/>
  <c r="F62" i="2" s="1"/>
  <c r="F63" i="2" s="1"/>
  <c r="AD49" i="2"/>
  <c r="S49" i="2"/>
  <c r="AD50" i="2"/>
  <c r="S50" i="2"/>
  <c r="X51" i="2"/>
  <c r="W51" i="2"/>
  <c r="V51" i="2"/>
  <c r="U51" i="2"/>
  <c r="T51" i="2"/>
  <c r="Y51" i="2" s="1"/>
  <c r="AM20" i="1"/>
  <c r="P20" i="1"/>
  <c r="AC20" i="1"/>
  <c r="Q20" i="1"/>
  <c r="O20" i="1"/>
  <c r="P21" i="1"/>
  <c r="AC21" i="1"/>
  <c r="Q21" i="1"/>
  <c r="O21" i="1"/>
  <c r="R21" i="1" s="1"/>
  <c r="AC19" i="1"/>
  <c r="Q19" i="1"/>
  <c r="O19" i="1"/>
  <c r="L36" i="1"/>
  <c r="L35" i="1"/>
  <c r="F117" i="1"/>
  <c r="D83" i="1"/>
  <c r="D82" i="1"/>
  <c r="D81" i="1"/>
  <c r="D80" i="1"/>
  <c r="D79" i="1"/>
  <c r="D78" i="1"/>
  <c r="D74" i="1"/>
  <c r="D73" i="1"/>
  <c r="D72" i="1"/>
  <c r="D71" i="1"/>
  <c r="D70" i="1"/>
  <c r="A60" i="1"/>
  <c r="I59" i="1"/>
  <c r="H59" i="1"/>
  <c r="F59" i="1"/>
  <c r="E59" i="1"/>
  <c r="E58" i="1"/>
  <c r="D58" i="1"/>
  <c r="E57" i="1"/>
  <c r="D57" i="1"/>
  <c r="E56" i="1"/>
  <c r="D56" i="1"/>
  <c r="E55" i="1"/>
  <c r="D55" i="1"/>
  <c r="AG52" i="1"/>
  <c r="G49" i="1"/>
  <c r="I49" i="1" s="1"/>
  <c r="K49" i="1" s="1"/>
  <c r="M49" i="1" s="1"/>
  <c r="G48" i="1"/>
  <c r="I48" i="1" s="1"/>
  <c r="K48" i="1" s="1"/>
  <c r="G47" i="1"/>
  <c r="I47" i="1" s="1"/>
  <c r="K47" i="1" s="1"/>
  <c r="G46" i="1"/>
  <c r="I46" i="1" s="1"/>
  <c r="K46" i="1" s="1"/>
  <c r="N45" i="1"/>
  <c r="G45" i="1"/>
  <c r="I45" i="1" s="1"/>
  <c r="K45" i="1" s="1"/>
  <c r="AG42" i="1"/>
  <c r="G39" i="1"/>
  <c r="I39" i="1" s="1"/>
  <c r="K39" i="1" s="1"/>
  <c r="M39" i="1" s="1"/>
  <c r="G38" i="1"/>
  <c r="I38" i="1" s="1"/>
  <c r="K38" i="1" s="1"/>
  <c r="G37" i="1"/>
  <c r="I37" i="1" s="1"/>
  <c r="K37" i="1" s="1"/>
  <c r="G36" i="1"/>
  <c r="I36" i="1" s="1"/>
  <c r="K36" i="1" s="1"/>
  <c r="G35" i="1"/>
  <c r="I35" i="1" s="1"/>
  <c r="K35" i="1" s="1"/>
  <c r="N34" i="1"/>
  <c r="G34" i="1"/>
  <c r="I34" i="1" s="1"/>
  <c r="K34" i="1" s="1"/>
  <c r="M34" i="1" s="1"/>
  <c r="AG32" i="1"/>
  <c r="AG31" i="1"/>
  <c r="Q31" i="1"/>
  <c r="Q42" i="1" s="1"/>
  <c r="N28" i="1"/>
  <c r="M28" i="1"/>
  <c r="G27" i="1"/>
  <c r="I27" i="1" s="1"/>
  <c r="K27" i="1" s="1"/>
  <c r="AI27" i="1" s="1"/>
  <c r="G26" i="1"/>
  <c r="I26" i="1" s="1"/>
  <c r="K26" i="1" s="1"/>
  <c r="G25" i="1"/>
  <c r="I25" i="1" s="1"/>
  <c r="K25" i="1" s="1"/>
  <c r="G24" i="1"/>
  <c r="I24" i="1" s="1"/>
  <c r="K24" i="1" s="1"/>
  <c r="G23" i="1"/>
  <c r="I23" i="1" s="1"/>
  <c r="K23" i="1" s="1"/>
  <c r="G22" i="1"/>
  <c r="I22" i="1" s="1"/>
  <c r="K22" i="1" s="1"/>
  <c r="G18" i="1"/>
  <c r="I18" i="1" s="1"/>
  <c r="K18" i="1" s="1"/>
  <c r="L22" i="1"/>
  <c r="L23" i="1" s="1"/>
  <c r="L24" i="1" s="1"/>
  <c r="L25" i="1" s="1"/>
  <c r="L26" i="1" s="1"/>
  <c r="L27" i="1" s="1"/>
  <c r="G17" i="1"/>
  <c r="I17" i="1" s="1"/>
  <c r="K17" i="1" s="1"/>
  <c r="G16" i="1"/>
  <c r="I16" i="1" s="1"/>
  <c r="K16" i="1" s="1"/>
  <c r="G15" i="1"/>
  <c r="I15" i="1" s="1"/>
  <c r="K15" i="1" s="1"/>
  <c r="C15" i="1"/>
  <c r="C16" i="1" s="1"/>
  <c r="C17" i="1" s="1"/>
  <c r="C18" i="1" s="1"/>
  <c r="C22" i="1" s="1"/>
  <c r="C23" i="1" s="1"/>
  <c r="C24" i="1" s="1"/>
  <c r="C25" i="1" s="1"/>
  <c r="C26" i="1" s="1"/>
  <c r="C27" i="1" s="1"/>
  <c r="G14" i="1"/>
  <c r="I14" i="1" s="1"/>
  <c r="K14" i="1" s="1"/>
  <c r="Y10" i="1"/>
  <c r="AE51" i="2" l="1"/>
  <c r="Z51" i="2"/>
  <c r="X50" i="2"/>
  <c r="W50" i="2"/>
  <c r="V50" i="2"/>
  <c r="U50" i="2"/>
  <c r="T50" i="2"/>
  <c r="Y50" i="2" s="1"/>
  <c r="X49" i="2"/>
  <c r="W49" i="2"/>
  <c r="V49" i="2"/>
  <c r="U49" i="2"/>
  <c r="T49" i="2"/>
  <c r="Y49" i="2" s="1"/>
  <c r="X48" i="2"/>
  <c r="W48" i="2"/>
  <c r="V48" i="2"/>
  <c r="U48" i="2"/>
  <c r="T48" i="2"/>
  <c r="Y48" i="2" s="1"/>
  <c r="S53" i="2"/>
  <c r="AD53" i="2"/>
  <c r="T53" i="2"/>
  <c r="Y47" i="2"/>
  <c r="Z47" i="2" s="1"/>
  <c r="U53" i="2"/>
  <c r="V53" i="2"/>
  <c r="W53" i="2"/>
  <c r="X53" i="2"/>
  <c r="AE41" i="2"/>
  <c r="X40" i="2"/>
  <c r="W40" i="2"/>
  <c r="V40" i="2"/>
  <c r="U40" i="2"/>
  <c r="T40" i="2"/>
  <c r="Y40" i="2" s="1"/>
  <c r="Z40" i="2" s="1"/>
  <c r="X39" i="2"/>
  <c r="W39" i="2"/>
  <c r="V39" i="2"/>
  <c r="U39" i="2"/>
  <c r="T39" i="2"/>
  <c r="Y39" i="2" s="1"/>
  <c r="Z39" i="2" s="1"/>
  <c r="X38" i="2"/>
  <c r="W38" i="2"/>
  <c r="V38" i="2"/>
  <c r="U38" i="2"/>
  <c r="T38" i="2"/>
  <c r="Y38" i="2" s="1"/>
  <c r="Z38" i="2" s="1"/>
  <c r="X36" i="2"/>
  <c r="W36" i="2"/>
  <c r="V36" i="2"/>
  <c r="U36" i="2"/>
  <c r="T36" i="2"/>
  <c r="Y36" i="2" s="1"/>
  <c r="Z36" i="2" s="1"/>
  <c r="S43" i="2"/>
  <c r="AD43" i="2"/>
  <c r="T43" i="2"/>
  <c r="Y35" i="2"/>
  <c r="Z35" i="2" s="1"/>
  <c r="U43" i="2"/>
  <c r="V43" i="2"/>
  <c r="W43" i="2"/>
  <c r="X43" i="2"/>
  <c r="X28" i="2"/>
  <c r="W28" i="2"/>
  <c r="V28" i="2"/>
  <c r="U28" i="2"/>
  <c r="T28" i="2"/>
  <c r="Y28" i="2" s="1"/>
  <c r="X27" i="2"/>
  <c r="W27" i="2"/>
  <c r="V27" i="2"/>
  <c r="U27" i="2"/>
  <c r="T27" i="2"/>
  <c r="Y27" i="2" s="1"/>
  <c r="X26" i="2"/>
  <c r="W26" i="2"/>
  <c r="V26" i="2"/>
  <c r="U26" i="2"/>
  <c r="T26" i="2"/>
  <c r="Y26" i="2" s="1"/>
  <c r="X25" i="2"/>
  <c r="W25" i="2"/>
  <c r="V25" i="2"/>
  <c r="U25" i="2"/>
  <c r="T25" i="2"/>
  <c r="Y25" i="2" s="1"/>
  <c r="X24" i="2"/>
  <c r="W24" i="2"/>
  <c r="V24" i="2"/>
  <c r="U24" i="2"/>
  <c r="T24" i="2"/>
  <c r="Y24" i="2" s="1"/>
  <c r="X23" i="2"/>
  <c r="W23" i="2"/>
  <c r="V23" i="2"/>
  <c r="U23" i="2"/>
  <c r="T23" i="2"/>
  <c r="Y23" i="2" s="1"/>
  <c r="X22" i="2"/>
  <c r="W22" i="2"/>
  <c r="V22" i="2"/>
  <c r="U22" i="2"/>
  <c r="T22" i="2"/>
  <c r="Y22" i="2" s="1"/>
  <c r="AE21" i="2"/>
  <c r="Z21" i="2"/>
  <c r="AQ21" i="2" s="1"/>
  <c r="AE20" i="2"/>
  <c r="Z20" i="2"/>
  <c r="X19" i="2"/>
  <c r="W19" i="2"/>
  <c r="V19" i="2"/>
  <c r="U19" i="2"/>
  <c r="T19" i="2"/>
  <c r="Y19" i="2" s="1"/>
  <c r="X18" i="2"/>
  <c r="W18" i="2"/>
  <c r="V18" i="2"/>
  <c r="U18" i="2"/>
  <c r="T18" i="2"/>
  <c r="Y18" i="2" s="1"/>
  <c r="X17" i="2"/>
  <c r="W17" i="2"/>
  <c r="V17" i="2"/>
  <c r="U17" i="2"/>
  <c r="T17" i="2"/>
  <c r="Y17" i="2" s="1"/>
  <c r="X15" i="2"/>
  <c r="W15" i="2"/>
  <c r="V15" i="2"/>
  <c r="U15" i="2"/>
  <c r="T15" i="2"/>
  <c r="Y15" i="2" s="1"/>
  <c r="Z15" i="2" s="1"/>
  <c r="R31" i="2"/>
  <c r="R55" i="2" s="1"/>
  <c r="G62" i="2" s="1"/>
  <c r="G63" i="2" s="1"/>
  <c r="AD14" i="2"/>
  <c r="AD31" i="2" s="1"/>
  <c r="S14" i="2"/>
  <c r="R20" i="1"/>
  <c r="S20" i="1" s="1"/>
  <c r="T20" i="1" s="1"/>
  <c r="R19" i="1"/>
  <c r="S19" i="1" s="1"/>
  <c r="T19" i="1" s="1"/>
  <c r="AD21" i="1"/>
  <c r="S21" i="1"/>
  <c r="AD20" i="1"/>
  <c r="E70" i="1"/>
  <c r="K30" i="1"/>
  <c r="K53" i="1" s="1"/>
  <c r="AI14" i="1"/>
  <c r="M14" i="1"/>
  <c r="E71" i="1"/>
  <c r="G71" i="1" s="1"/>
  <c r="AI15" i="1"/>
  <c r="N15" i="1"/>
  <c r="M15" i="1"/>
  <c r="E72" i="1"/>
  <c r="G72" i="1" s="1"/>
  <c r="AI16" i="1"/>
  <c r="N16" i="1"/>
  <c r="M16" i="1"/>
  <c r="E73" i="1"/>
  <c r="G73" i="1" s="1"/>
  <c r="AI17" i="1"/>
  <c r="N17" i="1"/>
  <c r="M17" i="1"/>
  <c r="E74" i="1"/>
  <c r="G74" i="1" s="1"/>
  <c r="AI18" i="1"/>
  <c r="N18" i="1"/>
  <c r="M18" i="1"/>
  <c r="E78" i="1"/>
  <c r="G78" i="1" s="1"/>
  <c r="AI22" i="1"/>
  <c r="N22" i="1"/>
  <c r="M22" i="1"/>
  <c r="E79" i="1"/>
  <c r="G79" i="1" s="1"/>
  <c r="AI23" i="1"/>
  <c r="N23" i="1"/>
  <c r="M23" i="1"/>
  <c r="E80" i="1"/>
  <c r="G80" i="1" s="1"/>
  <c r="AI24" i="1"/>
  <c r="N24" i="1"/>
  <c r="M24" i="1"/>
  <c r="E81" i="1"/>
  <c r="G81" i="1" s="1"/>
  <c r="AI25" i="1"/>
  <c r="N25" i="1"/>
  <c r="M25" i="1"/>
  <c r="E82" i="1"/>
  <c r="G82" i="1" s="1"/>
  <c r="AI26" i="1"/>
  <c r="N26" i="1"/>
  <c r="M26" i="1"/>
  <c r="E83" i="1"/>
  <c r="G83" i="1" s="1"/>
  <c r="N27" i="1"/>
  <c r="M27" i="1"/>
  <c r="AC34" i="1"/>
  <c r="Q34" i="1"/>
  <c r="P34" i="1"/>
  <c r="O34" i="1"/>
  <c r="R34" i="1" s="1"/>
  <c r="N35" i="1"/>
  <c r="M35" i="1"/>
  <c r="N36" i="1"/>
  <c r="M36" i="1"/>
  <c r="N37" i="1"/>
  <c r="M37" i="1"/>
  <c r="N38" i="1"/>
  <c r="M38" i="1"/>
  <c r="AC39" i="1"/>
  <c r="Q39" i="1"/>
  <c r="P39" i="1"/>
  <c r="O39" i="1"/>
  <c r="N39" i="1"/>
  <c r="R39" i="1" s="1"/>
  <c r="M45" i="1"/>
  <c r="L48" i="1" s="1"/>
  <c r="N46" i="1"/>
  <c r="M46" i="1"/>
  <c r="N47" i="1"/>
  <c r="M47" i="1"/>
  <c r="N48" i="1"/>
  <c r="M48" i="1"/>
  <c r="M51" i="1" s="1"/>
  <c r="AC49" i="1"/>
  <c r="Q49" i="1"/>
  <c r="P49" i="1"/>
  <c r="O49" i="1"/>
  <c r="N49" i="1"/>
  <c r="R49" i="1" s="1"/>
  <c r="S31" i="2" l="1"/>
  <c r="X14" i="2"/>
  <c r="X31" i="2" s="1"/>
  <c r="W14" i="2"/>
  <c r="W31" i="2" s="1"/>
  <c r="V14" i="2"/>
  <c r="V31" i="2" s="1"/>
  <c r="U14" i="2"/>
  <c r="U31" i="2" s="1"/>
  <c r="T14" i="2"/>
  <c r="AE15" i="2"/>
  <c r="AM15" i="2"/>
  <c r="AE17" i="2"/>
  <c r="Z17" i="2"/>
  <c r="AE18" i="2"/>
  <c r="Z18" i="2"/>
  <c r="AE19" i="2"/>
  <c r="Z19" i="2"/>
  <c r="AN20" i="2"/>
  <c r="I78" i="2" s="1"/>
  <c r="L78" i="2" s="1"/>
  <c r="AA20" i="2"/>
  <c r="AN21" i="2"/>
  <c r="I79" i="2" s="1"/>
  <c r="L79" i="2" s="1"/>
  <c r="F79" i="2"/>
  <c r="C10" i="3" s="1"/>
  <c r="D10" i="3" s="1"/>
  <c r="AA21" i="2"/>
  <c r="AE22" i="2"/>
  <c r="Z22" i="2"/>
  <c r="AQ22" i="2" s="1"/>
  <c r="AE23" i="2"/>
  <c r="Z23" i="2"/>
  <c r="AE24" i="2"/>
  <c r="Z24" i="2"/>
  <c r="AE25" i="2"/>
  <c r="Z25" i="2"/>
  <c r="AE26" i="2"/>
  <c r="Z26" i="2"/>
  <c r="AE27" i="2"/>
  <c r="Z27" i="2"/>
  <c r="AE28" i="2"/>
  <c r="Z28" i="2"/>
  <c r="Y43" i="2"/>
  <c r="AE35" i="2"/>
  <c r="AE36" i="2"/>
  <c r="AE38" i="2"/>
  <c r="AE39" i="2"/>
  <c r="AE40" i="2"/>
  <c r="AA41" i="2"/>
  <c r="X55" i="2"/>
  <c r="W55" i="2"/>
  <c r="F104" i="2" s="1"/>
  <c r="F114" i="2" s="1"/>
  <c r="V55" i="2"/>
  <c r="U55" i="2"/>
  <c r="F125" i="2" s="1"/>
  <c r="Y53" i="2"/>
  <c r="AE47" i="2"/>
  <c r="AD55" i="2"/>
  <c r="S55" i="2"/>
  <c r="AE48" i="2"/>
  <c r="Z48" i="2"/>
  <c r="AE49" i="2"/>
  <c r="Z49" i="2"/>
  <c r="AE50" i="2"/>
  <c r="Z50" i="2"/>
  <c r="AA51" i="2"/>
  <c r="G70" i="1"/>
  <c r="E84" i="1"/>
  <c r="AD19" i="1"/>
  <c r="X20" i="1"/>
  <c r="V20" i="1"/>
  <c r="W20" i="1"/>
  <c r="U20" i="1"/>
  <c r="X21" i="1"/>
  <c r="V21" i="1"/>
  <c r="T21" i="1"/>
  <c r="W21" i="1"/>
  <c r="U21" i="1"/>
  <c r="X19" i="1"/>
  <c r="V19" i="1"/>
  <c r="W19" i="1"/>
  <c r="U19" i="1"/>
  <c r="M41" i="1"/>
  <c r="AD49" i="1"/>
  <c r="S49" i="1"/>
  <c r="AC48" i="1"/>
  <c r="Q48" i="1"/>
  <c r="P48" i="1"/>
  <c r="O48" i="1"/>
  <c r="R48" i="1"/>
  <c r="AC47" i="1"/>
  <c r="Q47" i="1"/>
  <c r="P47" i="1"/>
  <c r="O47" i="1"/>
  <c r="R47" i="1" s="1"/>
  <c r="AC46" i="1"/>
  <c r="Q46" i="1"/>
  <c r="P46" i="1"/>
  <c r="O46" i="1"/>
  <c r="R46" i="1"/>
  <c r="N51" i="1"/>
  <c r="AC45" i="1"/>
  <c r="AC51" i="1" s="1"/>
  <c r="Q45" i="1"/>
  <c r="P45" i="1"/>
  <c r="P51" i="1" s="1"/>
  <c r="O45" i="1"/>
  <c r="AD39" i="1"/>
  <c r="S39" i="1"/>
  <c r="AC38" i="1"/>
  <c r="Q38" i="1"/>
  <c r="P38" i="1"/>
  <c r="O38" i="1"/>
  <c r="R38" i="1"/>
  <c r="AC37" i="1"/>
  <c r="Q37" i="1"/>
  <c r="P37" i="1"/>
  <c r="O37" i="1"/>
  <c r="R37" i="1" s="1"/>
  <c r="AC36" i="1"/>
  <c r="Q36" i="1"/>
  <c r="P36" i="1"/>
  <c r="O36" i="1"/>
  <c r="R36" i="1"/>
  <c r="AC35" i="1"/>
  <c r="Q35" i="1"/>
  <c r="P35" i="1"/>
  <c r="O35" i="1"/>
  <c r="R35" i="1" s="1"/>
  <c r="R41" i="1" s="1"/>
  <c r="N41" i="1"/>
  <c r="AD34" i="1"/>
  <c r="S34" i="1"/>
  <c r="O41" i="1"/>
  <c r="Q41" i="1"/>
  <c r="AC27" i="1"/>
  <c r="Q27" i="1"/>
  <c r="P27" i="1"/>
  <c r="O27" i="1"/>
  <c r="R27" i="1"/>
  <c r="AJ27" i="1"/>
  <c r="AC26" i="1"/>
  <c r="Q26" i="1"/>
  <c r="P26" i="1"/>
  <c r="O26" i="1"/>
  <c r="R26" i="1"/>
  <c r="AJ26" i="1"/>
  <c r="AC25" i="1"/>
  <c r="Q25" i="1"/>
  <c r="P25" i="1"/>
  <c r="O25" i="1"/>
  <c r="R25" i="1"/>
  <c r="AJ25" i="1"/>
  <c r="AC24" i="1"/>
  <c r="Q24" i="1"/>
  <c r="P24" i="1"/>
  <c r="O24" i="1"/>
  <c r="R24" i="1"/>
  <c r="AJ24" i="1"/>
  <c r="AC23" i="1"/>
  <c r="Q23" i="1"/>
  <c r="P23" i="1"/>
  <c r="O23" i="1"/>
  <c r="R23" i="1"/>
  <c r="AJ23" i="1"/>
  <c r="AC22" i="1"/>
  <c r="Q22" i="1"/>
  <c r="P22" i="1"/>
  <c r="O22" i="1"/>
  <c r="R22" i="1"/>
  <c r="AJ22" i="1"/>
  <c r="AC18" i="1"/>
  <c r="Q18" i="1"/>
  <c r="P18" i="1"/>
  <c r="O18" i="1"/>
  <c r="R18" i="1"/>
  <c r="AJ18" i="1"/>
  <c r="AC17" i="1"/>
  <c r="Q17" i="1"/>
  <c r="P17" i="1"/>
  <c r="O17" i="1"/>
  <c r="R17" i="1"/>
  <c r="AJ17" i="1"/>
  <c r="AC16" i="1"/>
  <c r="Q16" i="1"/>
  <c r="P16" i="1"/>
  <c r="O16" i="1"/>
  <c r="R16" i="1"/>
  <c r="AJ16" i="1"/>
  <c r="AC15" i="1"/>
  <c r="Q15" i="1"/>
  <c r="P15" i="1"/>
  <c r="O15" i="1"/>
  <c r="N30" i="1"/>
  <c r="AJ15" i="1"/>
  <c r="M30" i="1"/>
  <c r="M53" i="1" s="1"/>
  <c r="AC14" i="1"/>
  <c r="Q14" i="1"/>
  <c r="Q30" i="1" s="1"/>
  <c r="P14" i="1"/>
  <c r="O14" i="1"/>
  <c r="AJ14" i="1"/>
  <c r="F78" i="2" l="1"/>
  <c r="C9" i="3" s="1"/>
  <c r="G79" i="2"/>
  <c r="M79" i="2"/>
  <c r="R79" i="2" s="1"/>
  <c r="AF51" i="2"/>
  <c r="AG51" i="2" s="1"/>
  <c r="AB51" i="2"/>
  <c r="AA50" i="2"/>
  <c r="AA49" i="2"/>
  <c r="AA48" i="2"/>
  <c r="Z53" i="2"/>
  <c r="AA47" i="2"/>
  <c r="AE53" i="2"/>
  <c r="AF41" i="2"/>
  <c r="AG41" i="2" s="1"/>
  <c r="AB41" i="2"/>
  <c r="AA40" i="2"/>
  <c r="AA39" i="2"/>
  <c r="AA38" i="2"/>
  <c r="AA36" i="2"/>
  <c r="Z43" i="2"/>
  <c r="AA35" i="2"/>
  <c r="AE43" i="2"/>
  <c r="AA28" i="2"/>
  <c r="AA27" i="2"/>
  <c r="AA26" i="2"/>
  <c r="AA25" i="2"/>
  <c r="AA24" i="2"/>
  <c r="AA23" i="2"/>
  <c r="AN22" i="2"/>
  <c r="I80" i="2" s="1"/>
  <c r="L80" i="2" s="1"/>
  <c r="F80" i="2"/>
  <c r="C11" i="3" s="1"/>
  <c r="D11" i="3" s="1"/>
  <c r="AA22" i="2"/>
  <c r="AF21" i="2"/>
  <c r="AG21" i="2" s="1"/>
  <c r="AB21" i="2"/>
  <c r="AF20" i="2"/>
  <c r="AG20" i="2" s="1"/>
  <c r="AB20" i="2"/>
  <c r="AI31" i="2"/>
  <c r="F87" i="2"/>
  <c r="AA19" i="2"/>
  <c r="AA18" i="2"/>
  <c r="AA17" i="2"/>
  <c r="AA15" i="2"/>
  <c r="T31" i="2"/>
  <c r="Y14" i="2"/>
  <c r="R15" i="1"/>
  <c r="P41" i="1"/>
  <c r="AC41" i="1"/>
  <c r="Q51" i="1"/>
  <c r="Y20" i="1"/>
  <c r="Y21" i="1"/>
  <c r="Y19" i="1"/>
  <c r="F75" i="1" s="1"/>
  <c r="P30" i="1"/>
  <c r="AC30" i="1"/>
  <c r="AC53" i="1" s="1"/>
  <c r="O30" i="1"/>
  <c r="R14" i="1"/>
  <c r="AD15" i="1"/>
  <c r="S15" i="1"/>
  <c r="AD16" i="1"/>
  <c r="S16" i="1"/>
  <c r="AD17" i="1"/>
  <c r="S17" i="1"/>
  <c r="AD18" i="1"/>
  <c r="S18" i="1"/>
  <c r="AD22" i="1"/>
  <c r="S22" i="1"/>
  <c r="AD23" i="1"/>
  <c r="S23" i="1"/>
  <c r="AD24" i="1"/>
  <c r="S24" i="1"/>
  <c r="AD25" i="1"/>
  <c r="S25" i="1"/>
  <c r="AD26" i="1"/>
  <c r="S26" i="1"/>
  <c r="AD27" i="1"/>
  <c r="S27" i="1"/>
  <c r="X34" i="1"/>
  <c r="W34" i="1"/>
  <c r="V34" i="1"/>
  <c r="U34" i="1"/>
  <c r="T34" i="1"/>
  <c r="AD35" i="1"/>
  <c r="S35" i="1"/>
  <c r="AD36" i="1"/>
  <c r="S36" i="1"/>
  <c r="AD37" i="1"/>
  <c r="S37" i="1"/>
  <c r="AD38" i="1"/>
  <c r="S38" i="1"/>
  <c r="X39" i="1"/>
  <c r="W39" i="1"/>
  <c r="V39" i="1"/>
  <c r="U39" i="1"/>
  <c r="T39" i="1"/>
  <c r="Y39" i="1" s="1"/>
  <c r="O51" i="1"/>
  <c r="R45" i="1"/>
  <c r="Q53" i="1"/>
  <c r="AD46" i="1"/>
  <c r="S46" i="1"/>
  <c r="AD47" i="1"/>
  <c r="S47" i="1"/>
  <c r="AD48" i="1"/>
  <c r="S48" i="1"/>
  <c r="X49" i="1"/>
  <c r="W49" i="1"/>
  <c r="V49" i="1"/>
  <c r="U49" i="1"/>
  <c r="T49" i="1"/>
  <c r="Y49" i="1" s="1"/>
  <c r="D9" i="3" l="1"/>
  <c r="C18" i="3"/>
  <c r="AK16" i="2"/>
  <c r="AK15" i="2"/>
  <c r="M78" i="2"/>
  <c r="G78" i="2"/>
  <c r="G80" i="2"/>
  <c r="M80" i="2"/>
  <c r="Y31" i="2"/>
  <c r="Y55" i="2" s="1"/>
  <c r="H62" i="2" s="1"/>
  <c r="H63" i="2" s="1"/>
  <c r="AE14" i="2"/>
  <c r="AE31" i="2" s="1"/>
  <c r="AK14" i="2"/>
  <c r="T55" i="2"/>
  <c r="F115" i="2" s="1"/>
  <c r="F126" i="2" s="1"/>
  <c r="AF15" i="2"/>
  <c r="AG15" i="2" s="1"/>
  <c r="AB15" i="2"/>
  <c r="AF17" i="2"/>
  <c r="AG17" i="2" s="1"/>
  <c r="AB17" i="2"/>
  <c r="AF18" i="2"/>
  <c r="AG18" i="2" s="1"/>
  <c r="AB18" i="2"/>
  <c r="AF19" i="2"/>
  <c r="AG19" i="2" s="1"/>
  <c r="AB19" i="2"/>
  <c r="E66" i="2"/>
  <c r="AK31" i="2"/>
  <c r="AK30" i="2"/>
  <c r="AK29" i="2"/>
  <c r="AK28" i="2"/>
  <c r="AK27" i="2"/>
  <c r="AK26" i="2"/>
  <c r="AK25" i="2"/>
  <c r="AK24" i="2"/>
  <c r="AK23" i="2"/>
  <c r="AK19" i="2"/>
  <c r="AK18" i="2"/>
  <c r="AK17" i="2"/>
  <c r="AF22" i="2"/>
  <c r="AG22" i="2" s="1"/>
  <c r="AB22" i="2"/>
  <c r="AF23" i="2"/>
  <c r="AG23" i="2" s="1"/>
  <c r="AB23" i="2"/>
  <c r="AF24" i="2"/>
  <c r="AG24" i="2" s="1"/>
  <c r="AB24" i="2"/>
  <c r="AF25" i="2"/>
  <c r="AG25" i="2" s="1"/>
  <c r="AB25" i="2"/>
  <c r="AF26" i="2"/>
  <c r="AG26" i="2" s="1"/>
  <c r="AB26" i="2"/>
  <c r="AF27" i="2"/>
  <c r="AG27" i="2" s="1"/>
  <c r="AB27" i="2"/>
  <c r="AF28" i="2"/>
  <c r="AG28" i="2" s="1"/>
  <c r="AB28" i="2"/>
  <c r="AA43" i="2"/>
  <c r="AB43" i="2" s="1"/>
  <c r="AF35" i="2"/>
  <c r="AB35" i="2"/>
  <c r="AI43" i="2"/>
  <c r="X32" i="2"/>
  <c r="W32" i="2"/>
  <c r="V32" i="2"/>
  <c r="U32" i="2"/>
  <c r="T32" i="2"/>
  <c r="Y32" i="2" s="1"/>
  <c r="X44" i="2"/>
  <c r="W44" i="2"/>
  <c r="V44" i="2"/>
  <c r="U44" i="2"/>
  <c r="T44" i="2"/>
  <c r="Y44" i="2" s="1"/>
  <c r="AF36" i="2"/>
  <c r="AG36" i="2" s="1"/>
  <c r="AB36" i="2"/>
  <c r="AF38" i="2"/>
  <c r="AG38" i="2" s="1"/>
  <c r="AB38" i="2"/>
  <c r="AF39" i="2"/>
  <c r="AG39" i="2" s="1"/>
  <c r="AB39" i="2"/>
  <c r="AF40" i="2"/>
  <c r="AG40" i="2" s="1"/>
  <c r="AB40" i="2"/>
  <c r="AE55" i="2"/>
  <c r="AA53" i="2"/>
  <c r="AF47" i="2"/>
  <c r="AB47" i="2"/>
  <c r="AF48" i="2"/>
  <c r="AG48" i="2" s="1"/>
  <c r="AB48" i="2"/>
  <c r="AF49" i="2"/>
  <c r="AG49" i="2" s="1"/>
  <c r="AB49" i="2"/>
  <c r="AF50" i="2"/>
  <c r="AG50" i="2" s="1"/>
  <c r="AB50" i="2"/>
  <c r="G75" i="1"/>
  <c r="AA20" i="1"/>
  <c r="F76" i="1"/>
  <c r="AE19" i="1"/>
  <c r="AJ20" i="1"/>
  <c r="AE20" i="1"/>
  <c r="AE21" i="1"/>
  <c r="F60" i="1"/>
  <c r="F61" i="1" s="1"/>
  <c r="AE49" i="1"/>
  <c r="Z49" i="1"/>
  <c r="X48" i="1"/>
  <c r="W48" i="1"/>
  <c r="V48" i="1"/>
  <c r="U48" i="1"/>
  <c r="T48" i="1"/>
  <c r="Y48" i="1" s="1"/>
  <c r="X47" i="1"/>
  <c r="W47" i="1"/>
  <c r="V47" i="1"/>
  <c r="U47" i="1"/>
  <c r="T47" i="1"/>
  <c r="X46" i="1"/>
  <c r="W46" i="1"/>
  <c r="V46" i="1"/>
  <c r="U46" i="1"/>
  <c r="T46" i="1"/>
  <c r="Y46" i="1" s="1"/>
  <c r="R51" i="1"/>
  <c r="AD45" i="1"/>
  <c r="AD51" i="1" s="1"/>
  <c r="S45" i="1"/>
  <c r="AE39" i="1"/>
  <c r="Z39" i="1"/>
  <c r="X38" i="1"/>
  <c r="W38" i="1"/>
  <c r="V38" i="1"/>
  <c r="U38" i="1"/>
  <c r="T38" i="1"/>
  <c r="Y38" i="1" s="1"/>
  <c r="X37" i="1"/>
  <c r="W37" i="1"/>
  <c r="V37" i="1"/>
  <c r="U37" i="1"/>
  <c r="T37" i="1"/>
  <c r="X36" i="1"/>
  <c r="W36" i="1"/>
  <c r="V36" i="1"/>
  <c r="U36" i="1"/>
  <c r="T36" i="1"/>
  <c r="Y36" i="1" s="1"/>
  <c r="X35" i="1"/>
  <c r="W35" i="1"/>
  <c r="V35" i="1"/>
  <c r="U35" i="1"/>
  <c r="T35" i="1"/>
  <c r="S41" i="1"/>
  <c r="AD41" i="1"/>
  <c r="T41" i="1"/>
  <c r="Y34" i="1"/>
  <c r="U41" i="1"/>
  <c r="W41" i="1"/>
  <c r="X27" i="1"/>
  <c r="W27" i="1"/>
  <c r="V27" i="1"/>
  <c r="U27" i="1"/>
  <c r="T27" i="1"/>
  <c r="Y27" i="1" s="1"/>
  <c r="X26" i="1"/>
  <c r="W26" i="1"/>
  <c r="V26" i="1"/>
  <c r="U26" i="1"/>
  <c r="T26" i="1"/>
  <c r="X25" i="1"/>
  <c r="W25" i="1"/>
  <c r="V25" i="1"/>
  <c r="U25" i="1"/>
  <c r="T25" i="1"/>
  <c r="Y25" i="1" s="1"/>
  <c r="X24" i="1"/>
  <c r="W24" i="1"/>
  <c r="V24" i="1"/>
  <c r="U24" i="1"/>
  <c r="T24" i="1"/>
  <c r="X23" i="1"/>
  <c r="W23" i="1"/>
  <c r="V23" i="1"/>
  <c r="U23" i="1"/>
  <c r="T23" i="1"/>
  <c r="Y23" i="1" s="1"/>
  <c r="X22" i="1"/>
  <c r="W22" i="1"/>
  <c r="V22" i="1"/>
  <c r="U22" i="1"/>
  <c r="T22" i="1"/>
  <c r="X18" i="1"/>
  <c r="W18" i="1"/>
  <c r="V18" i="1"/>
  <c r="U18" i="1"/>
  <c r="T18" i="1"/>
  <c r="Y18" i="1" s="1"/>
  <c r="X17" i="1"/>
  <c r="W17" i="1"/>
  <c r="V17" i="1"/>
  <c r="U17" i="1"/>
  <c r="T17" i="1"/>
  <c r="X16" i="1"/>
  <c r="W16" i="1"/>
  <c r="V16" i="1"/>
  <c r="U16" i="1"/>
  <c r="T16" i="1"/>
  <c r="Y16" i="1" s="1"/>
  <c r="X15" i="1"/>
  <c r="W15" i="1"/>
  <c r="V15" i="1"/>
  <c r="U15" i="1"/>
  <c r="T15" i="1"/>
  <c r="R30" i="1"/>
  <c r="AD14" i="1"/>
  <c r="AD30" i="1" s="1"/>
  <c r="S14" i="1"/>
  <c r="R78" i="2" l="1"/>
  <c r="M87" i="2"/>
  <c r="R80" i="2"/>
  <c r="R87" i="2" s="1"/>
  <c r="AF53" i="2"/>
  <c r="AG47" i="2"/>
  <c r="AB53" i="2"/>
  <c r="AF43" i="2"/>
  <c r="AG43" i="2" s="1"/>
  <c r="AG35" i="2"/>
  <c r="Z31" i="2"/>
  <c r="AA14" i="2"/>
  <c r="V41" i="1"/>
  <c r="X41" i="1"/>
  <c r="AJ21" i="1"/>
  <c r="F77" i="1"/>
  <c r="G77" i="1" s="1"/>
  <c r="G76" i="1"/>
  <c r="F84" i="1"/>
  <c r="Y35" i="1"/>
  <c r="Y37" i="1"/>
  <c r="AE37" i="1" s="1"/>
  <c r="Y47" i="1"/>
  <c r="Z12" i="1"/>
  <c r="AJ19" i="1"/>
  <c r="AI30" i="1"/>
  <c r="AA21" i="1"/>
  <c r="AA19" i="1"/>
  <c r="Y15" i="1"/>
  <c r="Y17" i="1"/>
  <c r="Z17" i="1" s="1"/>
  <c r="Y22" i="1"/>
  <c r="Y24" i="1"/>
  <c r="Z24" i="1" s="1"/>
  <c r="Y26" i="1"/>
  <c r="S30" i="1"/>
  <c r="X14" i="1"/>
  <c r="X30" i="1" s="1"/>
  <c r="W14" i="1"/>
  <c r="W30" i="1" s="1"/>
  <c r="V14" i="1"/>
  <c r="V30" i="1" s="1"/>
  <c r="U14" i="1"/>
  <c r="U30" i="1" s="1"/>
  <c r="T14" i="1"/>
  <c r="AE15" i="1"/>
  <c r="Z15" i="1"/>
  <c r="AE16" i="1"/>
  <c r="Z16" i="1"/>
  <c r="AE17" i="1"/>
  <c r="AE18" i="1"/>
  <c r="Z18" i="1"/>
  <c r="AE22" i="1"/>
  <c r="Z22" i="1"/>
  <c r="AE23" i="1"/>
  <c r="Z23" i="1"/>
  <c r="AE25" i="1"/>
  <c r="Z25" i="1"/>
  <c r="AE26" i="1"/>
  <c r="Z26" i="1"/>
  <c r="AE27" i="1"/>
  <c r="Z27" i="1"/>
  <c r="Y41" i="1"/>
  <c r="AE34" i="1"/>
  <c r="Z34" i="1"/>
  <c r="AE35" i="1"/>
  <c r="Z35" i="1"/>
  <c r="AE36" i="1"/>
  <c r="Z36" i="1"/>
  <c r="Z37" i="1"/>
  <c r="AE38" i="1"/>
  <c r="Z38" i="1"/>
  <c r="AA39" i="1"/>
  <c r="S51" i="1"/>
  <c r="S53" i="1" s="1"/>
  <c r="X45" i="1"/>
  <c r="X51" i="1" s="1"/>
  <c r="W45" i="1"/>
  <c r="W51" i="1" s="1"/>
  <c r="V45" i="1"/>
  <c r="V51" i="1" s="1"/>
  <c r="U45" i="1"/>
  <c r="U51" i="1" s="1"/>
  <c r="T45" i="1"/>
  <c r="AD53" i="1"/>
  <c r="R53" i="1"/>
  <c r="G60" i="1" s="1"/>
  <c r="G61" i="1" s="1"/>
  <c r="AE46" i="1"/>
  <c r="Z46" i="1"/>
  <c r="AE47" i="1"/>
  <c r="Z47" i="1"/>
  <c r="AE48" i="1"/>
  <c r="Z48" i="1"/>
  <c r="AA49" i="1"/>
  <c r="M88" i="2" l="1"/>
  <c r="AA31" i="2"/>
  <c r="AF14" i="2"/>
  <c r="AB14" i="2"/>
  <c r="AF3" i="2"/>
  <c r="U11" i="2"/>
  <c r="V11" i="2"/>
  <c r="W11" i="2"/>
  <c r="X11" i="2"/>
  <c r="T11" i="2"/>
  <c r="Y11" i="2" s="1"/>
  <c r="Z55" i="2"/>
  <c r="AG53" i="2"/>
  <c r="AE24" i="1"/>
  <c r="AK25" i="1"/>
  <c r="AK16" i="1"/>
  <c r="AK23" i="1"/>
  <c r="AK30" i="1"/>
  <c r="AK14" i="1"/>
  <c r="AK17" i="1"/>
  <c r="AK24" i="1"/>
  <c r="AK27" i="1"/>
  <c r="AK18" i="1"/>
  <c r="AK29" i="1"/>
  <c r="AK28" i="1"/>
  <c r="AK15" i="1"/>
  <c r="AK22" i="1"/>
  <c r="AK26" i="1"/>
  <c r="AF19" i="1"/>
  <c r="AG19" i="1" s="1"/>
  <c r="AB19" i="1"/>
  <c r="AF20" i="1"/>
  <c r="AG20" i="1" s="1"/>
  <c r="AB20" i="1"/>
  <c r="AF21" i="1"/>
  <c r="AG21" i="1" s="1"/>
  <c r="AB21" i="1"/>
  <c r="AF49" i="1"/>
  <c r="AG49" i="1" s="1"/>
  <c r="AB49" i="1"/>
  <c r="AA48" i="1"/>
  <c r="AA47" i="1"/>
  <c r="AA46" i="1"/>
  <c r="T51" i="1"/>
  <c r="Y45" i="1"/>
  <c r="U53" i="1"/>
  <c r="V53" i="1"/>
  <c r="W53" i="1"/>
  <c r="F101" i="1" s="1"/>
  <c r="F111" i="1" s="1"/>
  <c r="X53" i="1"/>
  <c r="AF39" i="1"/>
  <c r="AG39" i="1" s="1"/>
  <c r="AB39" i="1"/>
  <c r="AA38" i="1"/>
  <c r="AA37" i="1"/>
  <c r="AA36" i="1"/>
  <c r="AA35" i="1"/>
  <c r="Z41" i="1"/>
  <c r="AA34" i="1"/>
  <c r="AE41" i="1"/>
  <c r="AA27" i="1"/>
  <c r="AA26" i="1"/>
  <c r="AA25" i="1"/>
  <c r="AA24" i="1"/>
  <c r="AA23" i="1"/>
  <c r="AA22" i="1"/>
  <c r="AA18" i="1"/>
  <c r="AA17" i="1"/>
  <c r="AA16" i="1"/>
  <c r="AA15" i="1"/>
  <c r="T30" i="1"/>
  <c r="Y14" i="1"/>
  <c r="Z14" i="1" s="1"/>
  <c r="Z6" i="2" l="1"/>
  <c r="Y56" i="2"/>
  <c r="E62" i="2"/>
  <c r="AG12" i="2"/>
  <c r="AF31" i="2"/>
  <c r="AG14" i="2"/>
  <c r="AB31" i="2"/>
  <c r="AB55" i="2" s="1"/>
  <c r="AA55" i="2"/>
  <c r="AA56" i="2" s="1"/>
  <c r="Y30" i="1"/>
  <c r="AE14" i="1"/>
  <c r="AE30" i="1" s="1"/>
  <c r="AF15" i="1"/>
  <c r="AG15" i="1" s="1"/>
  <c r="AB15" i="1"/>
  <c r="AF16" i="1"/>
  <c r="AG16" i="1" s="1"/>
  <c r="AB16" i="1"/>
  <c r="AF17" i="1"/>
  <c r="AG17" i="1" s="1"/>
  <c r="AB17" i="1"/>
  <c r="AF18" i="1"/>
  <c r="AG18" i="1" s="1"/>
  <c r="AB18" i="1"/>
  <c r="AF22" i="1"/>
  <c r="AG22" i="1" s="1"/>
  <c r="AB22" i="1"/>
  <c r="AF23" i="1"/>
  <c r="AG23" i="1" s="1"/>
  <c r="AB23" i="1"/>
  <c r="AF24" i="1"/>
  <c r="AG24" i="1" s="1"/>
  <c r="AB24" i="1"/>
  <c r="AF25" i="1"/>
  <c r="AG25" i="1" s="1"/>
  <c r="AB25" i="1"/>
  <c r="AF26" i="1"/>
  <c r="AG26" i="1" s="1"/>
  <c r="AB26" i="1"/>
  <c r="AF27" i="1"/>
  <c r="AG27" i="1" s="1"/>
  <c r="AB27" i="1"/>
  <c r="AA41" i="1"/>
  <c r="AB41" i="1" s="1"/>
  <c r="AF34" i="1"/>
  <c r="AB34" i="1"/>
  <c r="AI41" i="1"/>
  <c r="X31" i="1"/>
  <c r="W31" i="1"/>
  <c r="V31" i="1"/>
  <c r="U31" i="1"/>
  <c r="T31" i="1"/>
  <c r="U42" i="1"/>
  <c r="V42" i="1"/>
  <c r="W42" i="1"/>
  <c r="X42" i="1"/>
  <c r="AF35" i="1"/>
  <c r="AG35" i="1" s="1"/>
  <c r="AB35" i="1"/>
  <c r="AF36" i="1"/>
  <c r="AG36" i="1" s="1"/>
  <c r="AB36" i="1"/>
  <c r="AF37" i="1"/>
  <c r="AG37" i="1" s="1"/>
  <c r="AB37" i="1"/>
  <c r="AF38" i="1"/>
  <c r="AG38" i="1" s="1"/>
  <c r="AB38" i="1"/>
  <c r="F122" i="1"/>
  <c r="Y51" i="1"/>
  <c r="Y53" i="1" s="1"/>
  <c r="AE45" i="1"/>
  <c r="AE51" i="1" s="1"/>
  <c r="AE53" i="1" s="1"/>
  <c r="Z45" i="1"/>
  <c r="T53" i="1"/>
  <c r="T42" i="1"/>
  <c r="AF46" i="1"/>
  <c r="AG46" i="1" s="1"/>
  <c r="AB46" i="1"/>
  <c r="AF47" i="1"/>
  <c r="AG47" i="1" s="1"/>
  <c r="AB47" i="1"/>
  <c r="AF48" i="1"/>
  <c r="AG48" i="1" s="1"/>
  <c r="AB48" i="1"/>
  <c r="Y57" i="2" l="1"/>
  <c r="I62" i="2"/>
  <c r="I63" i="2" s="1"/>
  <c r="AG31" i="2"/>
  <c r="AG55" i="2" s="1"/>
  <c r="AF55" i="2"/>
  <c r="F97" i="2"/>
  <c r="F100" i="2" s="1"/>
  <c r="F128" i="2" s="1"/>
  <c r="F132" i="2" s="1"/>
  <c r="F136" i="2" s="1"/>
  <c r="F137" i="2" s="1"/>
  <c r="E63" i="2"/>
  <c r="E65" i="2" s="1"/>
  <c r="Y42" i="1"/>
  <c r="Y31" i="1"/>
  <c r="F112" i="1"/>
  <c r="F123" i="1" s="1"/>
  <c r="Z51" i="1"/>
  <c r="AA45" i="1"/>
  <c r="H60" i="1"/>
  <c r="H61" i="1" s="1"/>
  <c r="AF41" i="1"/>
  <c r="AG41" i="1" s="1"/>
  <c r="AG34" i="1"/>
  <c r="Z30" i="1"/>
  <c r="AA14" i="1"/>
  <c r="J63" i="2" l="1"/>
  <c r="E67" i="2"/>
  <c r="E64" i="2"/>
  <c r="F64" i="2"/>
  <c r="G64" i="2"/>
  <c r="H64" i="2"/>
  <c r="I64" i="2"/>
  <c r="Z53" i="1"/>
  <c r="AA30" i="1"/>
  <c r="AB30" i="1" s="1"/>
  <c r="AF14" i="1"/>
  <c r="AB14" i="1"/>
  <c r="AF3" i="1"/>
  <c r="U11" i="1"/>
  <c r="V11" i="1"/>
  <c r="W11" i="1"/>
  <c r="X11" i="1"/>
  <c r="T11" i="1"/>
  <c r="AA51" i="1"/>
  <c r="AF45" i="1"/>
  <c r="AB45" i="1"/>
  <c r="Y11" i="1" l="1"/>
  <c r="E60" i="1"/>
  <c r="Z6" i="1"/>
  <c r="AG12" i="1"/>
  <c r="AF51" i="1"/>
  <c r="AG45" i="1"/>
  <c r="AA53" i="1"/>
  <c r="I60" i="1" s="1"/>
  <c r="AB51" i="1"/>
  <c r="AB53" i="1" s="1"/>
  <c r="AF30" i="1"/>
  <c r="AG30" i="1" s="1"/>
  <c r="AG14" i="1"/>
  <c r="I61" i="1" l="1"/>
  <c r="AF53" i="1"/>
  <c r="AG51" i="1"/>
  <c r="AG53" i="1" s="1"/>
  <c r="F94" i="1"/>
  <c r="F97" i="1" s="1"/>
  <c r="F125" i="1" s="1"/>
  <c r="F129" i="1" s="1"/>
  <c r="F133" i="1" s="1"/>
  <c r="F134" i="1" s="1"/>
  <c r="E61" i="1"/>
  <c r="G62" i="1" l="1"/>
  <c r="E65" i="1"/>
  <c r="E62" i="1"/>
  <c r="F62" i="1"/>
  <c r="H62" i="1"/>
  <c r="I62" i="1"/>
  <c r="AP20" i="2"/>
  <c r="AQ20" i="2" s="1"/>
  <c r="AO21" i="2"/>
</calcChain>
</file>

<file path=xl/sharedStrings.xml><?xml version="1.0" encoding="utf-8"?>
<sst xmlns="http://schemas.openxmlformats.org/spreadsheetml/2006/main" count="2739" uniqueCount="705">
  <si>
    <t>PROCESO DE COSTEO  DIRECTO</t>
  </si>
  <si>
    <t>TERMINOS DE REFERENCIA</t>
  </si>
  <si>
    <t>Entidad</t>
  </si>
  <si>
    <t>CCB</t>
  </si>
  <si>
    <t>Nombre del Proyecto</t>
  </si>
  <si>
    <t>RETAS DE FORTALECIMIENTO</t>
  </si>
  <si>
    <t>Tipo de Proyecto</t>
  </si>
  <si>
    <t>CONTRATO</t>
  </si>
  <si>
    <t>Tiempo de Ejecucion</t>
  </si>
  <si>
    <t>11 MESES</t>
  </si>
  <si>
    <t>ETAPAS DEL PROYECTO</t>
  </si>
  <si>
    <t>ITEM</t>
  </si>
  <si>
    <t>ACTIVIDADES A DESARROLLAR</t>
  </si>
  <si>
    <t>DATOS BASICOS SOLICITADOS</t>
  </si>
  <si>
    <t>TOTAL COSTOS POR LINEA</t>
  </si>
  <si>
    <t>Costos Indirectos</t>
  </si>
  <si>
    <t>Gastos Administrativos</t>
  </si>
  <si>
    <t>PRECIO DE VENTA</t>
  </si>
  <si>
    <t>RESUMEN DE LA OFERTA ECONOMICA</t>
  </si>
  <si>
    <t>CONTROL</t>
  </si>
  <si>
    <t>ESTADO DEL PROYECTO</t>
  </si>
  <si>
    <t>No. De Participantes</t>
  </si>
  <si>
    <t>No. Part. Por Grupo</t>
  </si>
  <si>
    <t>Cantid. De Grupos</t>
  </si>
  <si>
    <t>No. De Sesiones x Grup</t>
  </si>
  <si>
    <t>Total Sesiones</t>
  </si>
  <si>
    <t>Horas por sesión</t>
  </si>
  <si>
    <t>Total Horas a Cotizar</t>
  </si>
  <si>
    <t>Valor Hora</t>
  </si>
  <si>
    <t>Gastos Equipo de trabajo</t>
  </si>
  <si>
    <t>Licensias Administrativas</t>
  </si>
  <si>
    <t>Uso de la Plataforma</t>
  </si>
  <si>
    <t>Polizas</t>
  </si>
  <si>
    <t>Total Costos Indirectos</t>
  </si>
  <si>
    <t>Precio Para Retabilidad</t>
  </si>
  <si>
    <t>Salarios de la Direccion</t>
  </si>
  <si>
    <t>Gravamen 4x1000</t>
  </si>
  <si>
    <t>Impuesto de Ind. Y Cio</t>
  </si>
  <si>
    <t>Imprevistos</t>
  </si>
  <si>
    <t>Comsion Venta</t>
  </si>
  <si>
    <t>Total Gastos Administrativos</t>
  </si>
  <si>
    <t>Precio de Venta</t>
  </si>
  <si>
    <t>RENTABILIDAD</t>
  </si>
  <si>
    <t>Costo Directo</t>
  </si>
  <si>
    <t>Gastos de Administracion</t>
  </si>
  <si>
    <t>Rentabilidad Calculada</t>
  </si>
  <si>
    <t>Precio de Vta del modulo con utilidad UP</t>
  </si>
  <si>
    <t>$</t>
  </si>
  <si>
    <t>%</t>
  </si>
  <si>
    <t>CRITERIOS DE LA ACTIVIDAD</t>
  </si>
  <si>
    <t>11.	ETAPA DE ALISTAMIENTO</t>
  </si>
  <si>
    <t>Programas VFE 2025 - Rutas de Foramción</t>
  </si>
  <si>
    <t>Entramite</t>
  </si>
  <si>
    <t>Sub Actividades</t>
  </si>
  <si>
    <t>mes</t>
  </si>
  <si>
    <t>ECONOMÍA POPULAR</t>
  </si>
  <si>
    <t>EMPRENDIMIENTO E INNOVACION</t>
  </si>
  <si>
    <t>COLEGIOS</t>
  </si>
  <si>
    <t>PROGRAMACIÓN ABIERTA Y REGIÓN</t>
  </si>
  <si>
    <t>INTERNACIONALIZACIÓN</t>
  </si>
  <si>
    <t>INTERNACIONALIZACION - Entregable -  Preseleccion de mercado</t>
  </si>
  <si>
    <t>INTERNACIONALIZACION - Entregable -  MarketFit</t>
  </si>
  <si>
    <t>INTERNACIONALIZACION - Entregable -  One Pager</t>
  </si>
  <si>
    <t>CICLOS FOCALIZADOS - ALIMENTOS</t>
  </si>
  <si>
    <t>CICLOS FOCALIZADOS - ESTRATEGIA FINANCIERA PARA EL SECTOR MODA E ICC</t>
  </si>
  <si>
    <t>CICLOS FOCALIZADOS - FORTALECIMIENTO DE EQUIPOS DE VENTA PARA EL SECTOR MODA</t>
  </si>
  <si>
    <t>CICLOS FOCALIZADOS - MULTISECTORIAL</t>
  </si>
  <si>
    <t>CICLOS FINANCIERO Y PRODUCTIVIDAD</t>
  </si>
  <si>
    <t>MENTORÍA, VOLUNTARIADO Y PROGRAMACIÓN REGIÓN (FORO PRESIDENTES)</t>
  </si>
  <si>
    <t>SUB-TOTAL</t>
  </si>
  <si>
    <t>RECURSO HUMANO</t>
  </si>
  <si>
    <t>COORDINADOR 15% DEDICACION</t>
  </si>
  <si>
    <t>GESTOR DE PROYECTOS-C.E (452 horas mes)</t>
  </si>
  <si>
    <t>ASISTENTE ADMINISTRATIVO</t>
  </si>
  <si>
    <t>TRASLADOD DE CONSULTORES</t>
  </si>
  <si>
    <t>ALQUILER DE EQUIPOS</t>
  </si>
  <si>
    <t>PAPELERIA E INSUMOS  DE OFICINA</t>
  </si>
  <si>
    <t>Desarrollo Herramienta tecnologica</t>
  </si>
  <si>
    <t xml:space="preserve">Profesional de desarrollo </t>
  </si>
  <si>
    <t>ARL estudiantes de coformacion</t>
  </si>
  <si>
    <t>Alquiler de Salones</t>
  </si>
  <si>
    <t>FIC Operación Fabrica de socluciones</t>
  </si>
  <si>
    <t>TOTAL PROYECTO</t>
  </si>
  <si>
    <t>RESUMEN</t>
  </si>
  <si>
    <t>TOTAL PROPUESTA</t>
  </si>
  <si>
    <t>Distribucion Porcentual</t>
  </si>
  <si>
    <t>Margen de Contribucion</t>
  </si>
  <si>
    <t xml:space="preserve">Rentabilidad </t>
  </si>
  <si>
    <t>Forma de pago</t>
  </si>
  <si>
    <t>mes vencido</t>
  </si>
  <si>
    <t>PROPUESTA Económica</t>
  </si>
  <si>
    <t>PROGRAMA</t>
  </si>
  <si>
    <t>TOTAL HORAS</t>
  </si>
  <si>
    <t>VALOR TOTAL</t>
  </si>
  <si>
    <t>VALOR HORA</t>
  </si>
  <si>
    <t>TOTALES</t>
  </si>
  <si>
    <t>EJECUCIÓN PRESUPUESTAL</t>
  </si>
  <si>
    <t>VALORES</t>
  </si>
  <si>
    <t>Ingresos por Matricula Pregrado</t>
  </si>
  <si>
    <t>Ingresos por Matricula Posgrados</t>
  </si>
  <si>
    <t>Ingresos por Matricula Tecnologías</t>
  </si>
  <si>
    <t>Ingresos Pecuniarios asociados a la educacion</t>
  </si>
  <si>
    <t>Educacion Continuada - Diplomados</t>
  </si>
  <si>
    <t>Educacion Continuada - Proyectos</t>
  </si>
  <si>
    <t>Educacion Continuada - Formación a la medida</t>
  </si>
  <si>
    <t>(-) Becas, apoyo Financiero, Devoluciones</t>
  </si>
  <si>
    <t>Ingresos Operacionales</t>
  </si>
  <si>
    <t>Personal Docente</t>
  </si>
  <si>
    <t>Nómina Académica</t>
  </si>
  <si>
    <t>Costos - Educacion Continuada</t>
  </si>
  <si>
    <t>Costos - Proyectos</t>
  </si>
  <si>
    <t>Honorarios (Académicos)</t>
  </si>
  <si>
    <t>Arrendamientos</t>
  </si>
  <si>
    <t>Mantenimiento y Reparaciones</t>
  </si>
  <si>
    <t>Gastos de Viaje (Académicos)</t>
  </si>
  <si>
    <t>Afiliaciones y suscripciones</t>
  </si>
  <si>
    <t>Materiales, útiles y papelería</t>
  </si>
  <si>
    <t xml:space="preserve">Deterioro de Cartera </t>
  </si>
  <si>
    <t>Licencias Académicas</t>
  </si>
  <si>
    <t>Seguro estudiantil</t>
  </si>
  <si>
    <t>Costos Operacionales</t>
  </si>
  <si>
    <t>Nómina Administrativa</t>
  </si>
  <si>
    <t>Honorarios y Asesorías</t>
  </si>
  <si>
    <t>Servicios Públicos</t>
  </si>
  <si>
    <t>Aseo y vigilancia</t>
  </si>
  <si>
    <t>Gastos de Viaje (Administrativos)</t>
  </si>
  <si>
    <t>Otros Gastos de Personal</t>
  </si>
  <si>
    <t>Publicidad y Promoción institucional</t>
  </si>
  <si>
    <t>Seguros</t>
  </si>
  <si>
    <t>Eventos y Transporte</t>
  </si>
  <si>
    <t>Licencias Administrativas</t>
  </si>
  <si>
    <t>Impuestos</t>
  </si>
  <si>
    <t>Gastos Operacionales</t>
  </si>
  <si>
    <t>EBITDA</t>
  </si>
  <si>
    <t>Depreciacion y Amortizacion</t>
  </si>
  <si>
    <t>Excedente Operacional</t>
  </si>
  <si>
    <t>Ingresos/Gastos No Operacionales</t>
  </si>
  <si>
    <t>Excendente NETO</t>
  </si>
  <si>
    <t>Porcentaje sobre Ingresos Contractuales</t>
  </si>
  <si>
    <t>EMPRENDIMIENTO</t>
  </si>
  <si>
    <t>INNOVACION</t>
  </si>
  <si>
    <t>AUXILIAR ADMINISTRATIVOD E APOYO</t>
  </si>
  <si>
    <t>GESTOR DE PROYECTOS</t>
  </si>
  <si>
    <t>PPROFESIONAL</t>
  </si>
  <si>
    <t>Propuesta AR</t>
  </si>
  <si>
    <t>PROPUESTA ECONÓMICA</t>
  </si>
  <si>
    <t xml:space="preserve">EMPRENDIMIENTO </t>
  </si>
  <si>
    <t>NUEVA PROPUESTA</t>
  </si>
  <si>
    <t>PROPUESTA ANTERIOR</t>
  </si>
  <si>
    <t>Dif. en Horas</t>
  </si>
  <si>
    <t>RUTA</t>
  </si>
  <si>
    <t>SECTORES</t>
  </si>
  <si>
    <t>ÁREA DEL CONOCIMIENTO</t>
  </si>
  <si>
    <t>TOTAL HORAS POR SECTOR</t>
  </si>
  <si>
    <t>NÚMERO DE CONSULTORES</t>
  </si>
  <si>
    <t>promedio de asignacion de horas por Consultor</t>
  </si>
  <si>
    <t>VALOR HORA (a cobrar)</t>
  </si>
  <si>
    <t>Responsable 
de la ruta UE</t>
  </si>
  <si>
    <t>CORREO</t>
  </si>
  <si>
    <t>TELEFONO</t>
  </si>
  <si>
    <t>Perfil Consultor</t>
  </si>
  <si>
    <t>Crecimiento Empresarial</t>
  </si>
  <si>
    <t>Economia popular</t>
  </si>
  <si>
    <t>Finanzas corporativas, Proyecciones financieras, construcción y analisis de indicadores financieros, valoración de empresas, inversión de riesgo.</t>
  </si>
  <si>
    <t>Prof 1: Andreina Ustate</t>
  </si>
  <si>
    <t>austate@uniempresarial.edu.co</t>
  </si>
  <si>
    <t>Atención e implementación de programas de intervención personal y familiar psicosocial.</t>
  </si>
  <si>
    <t>Apoyo Asistencial: Alejandra Buitrago</t>
  </si>
  <si>
    <t>contratofortalecimiento@uniemoresarial.edu.co</t>
  </si>
  <si>
    <t>Emprendimiento, Ruta Bogotá/Cundinamarca Emprende, Innovación</t>
  </si>
  <si>
    <t>Innovación</t>
  </si>
  <si>
    <t xml:space="preserve">Innovación, Metodologías Agiles, 
Manejo de herramientas IA </t>
  </si>
  <si>
    <t>Prof 2: Julie Sáenz Castañeda</t>
  </si>
  <si>
    <t>jsaenzc@uniempresarial.edu.co</t>
  </si>
  <si>
    <t>Profesionales con mínimo tres años de experiencia en consultoría y/o
asesoría de innovación con empresas en temas como: Implementación
de sistemas de gestión de innovación, definición e implementación de
proyectos de innovación.</t>
  </si>
  <si>
    <t>Apoyo Asistencial - Por confirmar</t>
  </si>
  <si>
    <t>Bogota Emprende  y Cundinamarca Emprende</t>
  </si>
  <si>
    <t>Marketing, Modelo de negocio, Emprendimiento, Financiero,Legal, Portafolio de Productos, Estrategia de Marca, Portafolio de Productos,Pricing y Monetización</t>
  </si>
  <si>
    <t>Profesionales con experiencia comprobada de más de 3 años en el desarrollo de contenidos y acompañamiento a emprendedores o pequeños empresarios en al menos tres (3) de los siguientes temas: • Modelo de negocio • Estrategia empresarial • Mercadeo y/o marketing digital • Portafolio de productos y/o servicios Docusign Envelope • Construcción de portafolio digital • Construcción y fortalecimiento de marca • Finanzas empresariales • Aspectos legales y tributarios para emprendedores • Preparación para ruedas de negocio y pitch</t>
  </si>
  <si>
    <t>Apoyo Asistencial -Por confirmar</t>
  </si>
  <si>
    <t>Consolidación y escalamiento empresarial</t>
  </si>
  <si>
    <t>ESTRATEGIA FINANCIERA Y RENDICIÓN DE CUENTAS PARA EL SECTOR MODA E INDUSTRIAS CREATIVAS Y CULTURALES</t>
  </si>
  <si>
    <t>Estrategia Financiera y Rendición de Cuentas para el Sector Moda e Industrias Creativas y Culturales</t>
  </si>
  <si>
    <t>Financiera</t>
  </si>
  <si>
    <t>Prof 4 : Tatiana Prieto</t>
  </si>
  <si>
    <t>tprieto@uniempresarial.edu.co</t>
  </si>
  <si>
    <t>Perfil: Profesionales en ingeniería y administración especializado en el análisis de márgenes de contribución y gestión de costos en empresas del sector moda. Con más de 3 de experiencia en asesoramiento a marcas de indumentaria y accesorios, ayudando a optimizar la rentabilidad a través de estrategias financieras efectivas y soluciones personalizadas. Con experiencia en el control de la producción y su impacto en el costo: planeación de la producción (tiempos, métodos, plan de producción, gestión de mano de obra, indicadores de producción).</t>
  </si>
  <si>
    <t>FORTALECIMIENTO DE EQUIPOS DE VENTA PARA EL SECTOR MODA</t>
  </si>
  <si>
    <t>Fortalecimiento de Equipos de Venta para el Sector Moda</t>
  </si>
  <si>
    <t>Venta, Marketing, organizacional, comunicación</t>
  </si>
  <si>
    <t>Perfil: Profesional en diseño de moda con enfoque en negocios, administrador de empresas con especialización en marketing.3 años de experiencia en formación y consultoría empresarial para el sector moda en: ventas retail, venta consultiva, servicio al cliente, que demuestre su experiencia en la aplicación de herramientas para la identificación de perfiles de consumidor, merchandising y manejo de indicadores como ticket promedio, ventas por metro cuadrado, tasa de conversión de clientes.</t>
  </si>
  <si>
    <t>No aplica</t>
  </si>
  <si>
    <t>Mercadeo y ventas, estrategia empresarial. financiero y financiamiento, producción y calidad, marketing digital, contratación laboral y seguridad social.</t>
  </si>
  <si>
    <t>Gestión del Talento Humano para el sector construcción</t>
  </si>
  <si>
    <t>Cumplimmiento normativo y tributario, aplicación de tipos de  contratos laborales apropiados para el sector construcion, p´revencion de riesgos laborales y estrategias de negociación con sindicatos o empleados</t>
  </si>
  <si>
    <t>Prof 3: - Johana suescun</t>
  </si>
  <si>
    <t>nsuescun@uniempresarial.edu.co</t>
  </si>
  <si>
    <t>Gestión del talento humano para empresas del sector construcción: profesionales en psicología, administración de empresas, derecho, recursos humanos, o áreas afines. Con estudios de posgrado en recursos humanos, gestión del talento, derecho laboral, gestión de proyectos o administración de empresas con énfasis en gestión organizacional. Con al menos (3) años de experiencia en formación y asesoría en cumplimiento normativo y tributario, así como en la aplicación de tipos de contratos laborales apropiados para el sector construcción, prevención de riesgos laborales y estrategias de negociación con sindicatos o empleados.</t>
  </si>
  <si>
    <t>Excelencia para el sector Turismo</t>
  </si>
  <si>
    <t>Implementación de tecnicas avanzadas de costeo, analisis de rentabilidad, ventas y mercadeo en el sector turismo</t>
  </si>
  <si>
    <t>Excelencia para el sector Turismo: profesionales con estudios de pregrado y posgrado en administración de empresas, turismo, marketing, economía o carreras afines, con un enfoque en gestión de servicios y optimización de procesos comerciales en el sector turístico. Con al menos tres (3) años de experiencia en formación y asesoría en la implementación de técnicas avanzadas de costeo, análisis de rentabilidad, ventas y mercadeo en el contexto del sector turismo. Experiencia en la mejora de la experiencia del cliente y en la optimización de procesos para maximizar la competitividad en el mercado.</t>
  </si>
  <si>
    <t>Proyectos financieros con proposito y Gestion financiera en empresas de servicios empresariales</t>
  </si>
  <si>
    <t>Gestión financiera, planificación financiera, presupuestación, analisis de margen de contribución, control financiero,y gestion de riesgo, metodologia de analisis de datos y uso de herramientas de modelado.</t>
  </si>
  <si>
    <t>Proyectos financieros para empresas de Servicios Empresariales: profesionales en finanzas, administración, economía, contaduría o carreras afines. Preferiblemente con estudios de posgrado en finanzas, gestión de proyectos y análisis de datos entre otros. Con al menos tres (3) años de experiencia en formación y asesoría en planificación financiera, presupuestación, análisis de márgenes de contribución, control financiero y gestión de riesgos. Experiencia en implementación de metodologías de análisis de datos y en el uso de herramientas de modelado financiero para empresas.</t>
  </si>
  <si>
    <t>Transformación digital</t>
  </si>
  <si>
    <t>Enfocados en IA</t>
  </si>
  <si>
    <t>Tecnología en modelos de negocio y servicios de consultoría: profesionales en ingeniería industrial, de sistemas, ciencias de la computación, administración de empresas, economía, o carreras afines con enfoque en tecnologías y gestión empresarial. Preferiblemente con estudios de posgrado en tecnologías de la información, inteligencia artificial, innovación tecnológica, automatización de procesos, entre otros. Con al menos tres (3) años de experiencia en formación y asesoría en herramientas de inteligencia artificial, análisis de datos y plataformas de automatización que permitan mejorar la eficiencia operativa y la calidad del servicio en consultoría</t>
  </si>
  <si>
    <t>Tecnología en modelos de negocio y servicios de Consultoria</t>
  </si>
  <si>
    <t>Mercadeo en Ventas enfocados en IA, analisis de datos y plataformas de automatización.</t>
  </si>
  <si>
    <t>Tecnología en Cadena de abastecimiento - (Logistica)</t>
  </si>
  <si>
    <t>Gestión de cadena de suministro, sustema de gestión de inventarios, (ERP, WMS), automatización de procesos logisticos, soluciones de trazabilidad, anaisis de datos para optimización de rutas y logistica inversa.</t>
  </si>
  <si>
    <t>Apoyo Asistencial - Reina jaden</t>
  </si>
  <si>
    <t>rmanrique@uniempresarial.edu.co</t>
  </si>
  <si>
    <t>Tecnología en cadenas de abastecimiento: profesionales en ingeniería industria, logística, administración de empresas, ingeniería o carreras afines. Con estudios de posgrado en logística y cadenas de abastecimiento, Supply Chain Management, Transformación digital aplicada, entre otros. Con al menos tres (3) años de experiencia en formación y asesoría en implementación de tecnologías avanzadas en la gestión de la cadena de suministro, tales como sistemas de gestión de inventarios (ERP, WMS), automatización de procesos logísticos, soluciones de trazabilidad, análisis de datos para optimización de rutas y logística inversa. Experiencia en el uso de herramientas tecnológicas 
para mejorar la eficiencia de distribución, almacenamiento y gestión de 
procesos logísticos.</t>
  </si>
  <si>
    <t>Programa de Desarrollo proveedores</t>
  </si>
  <si>
    <t>líneas de productividad operacional, productividad laboral, gestión de la calidad y gestión logística</t>
  </si>
  <si>
    <t>Desarrollo de Proveedores: Se requiere como mínimo un equipo de cuatro (4) consultores especializados por grupo empresarial, con estudios de pregrado en administración de empresas, ingeniería industrial, logística, economía o carreras afines y con una experiencia certificada de (5) años en la prestación de servicios de formación, asesoría y/o asesoría especializada en empresas multisectoriales en las líneas de productividad operacional, productividad laboral, gestión de la calidad y gestión logística. La experiencia sectorial y la experiencia en la línea específica anteriormente mencionada, por parte de los consultores, se establecerá una vez se seleccionen las empresas ancla a intervenir durante el 2025.</t>
  </si>
  <si>
    <t>SECTOR  ALIMENTOS</t>
  </si>
  <si>
    <t>Marketing Experiencial</t>
  </si>
  <si>
    <t>Estrategias para generar propuestas de valor diferenciadas, conevtar emocionalmente con el publico objetivo y fidelización de clientes</t>
  </si>
  <si>
    <t>Perfil: Profesional en Administración de empresas, publicidad, diseño digital, comunicación social, marketing y negocios digitales, Marketing de contenidos y storytellung, Learning Experience Designer.  Tres (3) años de experiencia comprobada prestando servicios de formación y/o asesorías en herramientas y estrategias para generar propuestas de valor diferenciadas, conectar emocionalmente con el público objetivo y fidelización de clientes</t>
  </si>
  <si>
    <t>Servicio al Cliente para el sector gastronomico</t>
  </si>
  <si>
    <t>Habilidaes de servicio al cliente, psicologia del cliente, empátia, técnicas de comunicación interpersonal, entrenamiento de ventas sugestivas.</t>
  </si>
  <si>
    <t>Perfil: Profesional en Administración de empesas, psicología,marketing. comunicación social, recursos humanos.  Tres (3) años de experiencia comprobada prestando servicios de formación y/o asesorías en habilidades de servicio al cliente, psicología del cliente, empatía, técnicas de comunicación interpersonal, entrenamiento de ventas sugestivas.</t>
  </si>
  <si>
    <t>Mercadeo para Impulsar el Crecimiento</t>
  </si>
  <si>
    <t>Estrategias de mercadeo, plan de ventas y plan de mercadeo, marketing digital.</t>
  </si>
  <si>
    <t>Perfil: Profesional en mercadotecnia (marketing), administración de empresas, comunicación y publicidad, negocios internacionales.Tres (3) años de experiencia comprobada prestando servicios de formación y/o asesorías en la aplicación de herramientas de mercadeo, estrategia de mercadeo, plan de ventas y plan de mercadeo, marketing digital.</t>
  </si>
  <si>
    <t>Inteligencia Artificial</t>
  </si>
  <si>
    <t>Apicación de la IA en las empresas, herramientas y tecnologias de la IA para potenciar el marketing y la comunicación digital, desarrollo de chatbot o asistente virtual para la meora de la experiencia al cliente , herramientas y recursos dispónibles para el desarrollo de la IA conversacional en la empresas, herramientas y plataformas disponibles para el analisis de datos y prediccion con IA</t>
  </si>
  <si>
    <t>Perfil: Profesional en ingeniería en ciencias de computacón e inteligencia artificial, ingeniería en ciencia de datos, marketing digital, comunicación y medios digitales, administración de empresas con enfoque en transformación digital.Dos (2) años de experiencia comprobada prestando servicios de formación y/o asesorías en funcionamiento de la inteligencia artificial , aplicación de la IA en la empresas, herramientas y tecnologías de la IA para potencializar el marketing y la comunicación digital, desarrollo de un chatbot o asistente virtual para la mejora de la experiencia al cliente, herramientas y recursos disponibles para el desarrollo de IA conversacional en las empresas, herramientas y plataformas disponibles para el análisis de datos y predicción con inteligencia artificial.</t>
  </si>
  <si>
    <t>Fidelización y atracción del Talento Humano</t>
  </si>
  <si>
    <t>Atracción y retención del talento humano y administración del talento humano</t>
  </si>
  <si>
    <t>Perfil: Administración de empresas con especialización en Recursos humanos, Psicologo con enfasis en organizacional, sociología, abogado con enfasis en derecho laboral. Tres (3) años de experiencia comprobada prestando servicios de formación y/o asesorías en temas de gestión humana (atracción, vinculación y retención de talento humano) y administración del talento humano (contratación, remuneración, etc)</t>
  </si>
  <si>
    <t xml:space="preserve"> FINANCIERO Y PRODUCTIVIDAD</t>
  </si>
  <si>
    <t>Indicadores de gestión</t>
  </si>
  <si>
    <t>Tributario y Financiero</t>
  </si>
  <si>
    <t xml:space="preserve">Se requieren al menos cuatro (4) profesionales con estudios de
pregrado y posgrado en economía, administración de empresas,
ingeniería industrial, contaduría, finanzas o afines. Cada uno deberá
acreditar experiencia general de mínimo (3) años de ejercicio
profesional contados desde la fecha de grado, y específica de por lo
menos (2) años en asesoramiento a empresas. La disponibilidad de
este rol deberá ser del 100% del tiempo de ejecución del contrato y los
servicios podrán prestarse de manera presencial o virtual, en Bogotá o
Cundinamarca. </t>
  </si>
  <si>
    <t>Metodologias de mejoramiento de la Productividad</t>
  </si>
  <si>
    <t>Gestión Finaciero</t>
  </si>
  <si>
    <t>Talleres</t>
  </si>
  <si>
    <t>Moda e Industrias Creativas y Culturales, Seguridad Alimentaria, TIC, Turismo, Consultoría, Gestión del Talento Humano, Servicios Financieros, Cadenas de Abastecimiento, Salud, Sector Farmacéutico, Construcción y Energía, Servicios Financieros y Logística, Cosmética, y otros servicios empresariales.</t>
  </si>
  <si>
    <t>Prof 5: Samuel Perez</t>
  </si>
  <si>
    <t>sperez@uniempresarial.edu.co</t>
  </si>
  <si>
    <t>Para talleres y asesorías individuales: Se requiere que el contratista cuente con un equipo de trabajo que tenga mínimo tres (3) años de experiencia comprobada prestando servicios de formación y/o asesorías en temas de internacionalización de empresas, para empresas de los siguientes sectores: Moda e Industrias Creativas y Culturales, Seguridad Alimentaria, TIC, Turismo, Consultoría, Gestión del Talento Humano, Servicios Financieros, Cadenas de Abastecimiento, Salud, Sector Farmacéutico, Construcción y Energía, Servicios Financieros y Logística, Cosmética, y otros servicios empresariales. Los servicios podrán prestarse de manera presencial o virtual, en Bogotá o Cundinamarca.</t>
  </si>
  <si>
    <t>Asesorias individales</t>
  </si>
  <si>
    <t>Plan de internacinalización</t>
  </si>
  <si>
    <t>economía, administración de empresas, finanzas internacionales, comercio exterior, negocios internacionales, relaciones internacionales o afines</t>
  </si>
  <si>
    <t>Para el programa de aceleración: Se requieren al menos trece (13) profesionales con estudios de pregrado y posgrado en economía, administración de empresas, finanzas internacionales, comercio exterior, negocios internacionales, relaciones internacionales o afines. Cada uno deberá acreditar experiencia general de mínimo (3) años de ejercicio profesional contados desde la fecha de grado, y específica de por lo menos (1) año en asesoramiento a empresas y con un nivel de inglés mínimo B2 certificado. Los servicios podrán prestarse de manera presencial o virtual, en Bogotá o Cundinamarca.</t>
  </si>
  <si>
    <t>Na</t>
  </si>
  <si>
    <t>Foro presidentes</t>
  </si>
  <si>
    <t>ESCUELA DE MENTORES, VOLUNTARIADO Y PROGRAMACIÓN REGIÓN (FORO PRESIDENTES)</t>
  </si>
  <si>
    <t>ESCUELA DE MENTORES</t>
  </si>
  <si>
    <t xml:space="preserve">Storytelling y herramientas para la mentoría-Creatividad e innovación-Comunicación y Liderazgo-Gestión del talento en la era de la  IA-:  Coaching de equipos directivos-Modelos de negocios disruptivos 
</t>
  </si>
  <si>
    <t>Prof 2: Julie Sáenz Castañeda
Apoyo Asistencial - Por confirmar</t>
  </si>
  <si>
    <t>Profesionales con experiencia en formación en habilidades blandas:
Storytelling, Creatividad e innovación, Liderazgo, Gestión, Trabajo
colaborativo, Pensamiento estratégico y complejo, Habilidades de
comunicación para la mentoría, Coaching de equipos directivos,
Inteligencia artificial como herramienta para la mentoría, Modelos de
negocios disruptivos.
Profesionales en cualquier área del conocimiento con mínimo cinco (5)
años de experiencia en realización de talleres y/o formación en
habilidades blandas en temas como liderazgo, comunicación asertiva,
escucha activa, gestión de equipos, pensamiento estratégico entre
otros, con metodologías innovadoras, para líderes empresariales y
profesionales de alta dirección</t>
  </si>
  <si>
    <t>TOTAL</t>
  </si>
  <si>
    <t>Horas ejecutadas Abril 2025</t>
  </si>
  <si>
    <t>Valor ejecutado Abril 2025</t>
  </si>
  <si>
    <t>Storytelling y herramientas para la mentoría-Creatividad e innovación-Comunicación y Liderazgo-Gestión del talento en la era de la  IA-:  Coaching de equipos directivos-Modelos de negocios disruptivos</t>
  </si>
  <si>
    <t>N° Ruta</t>
  </si>
  <si>
    <t>Sector</t>
  </si>
  <si>
    <t>Coordinador CCB</t>
  </si>
  <si>
    <t>Número de Contrato</t>
  </si>
  <si>
    <t>Código Agenda</t>
  </si>
  <si>
    <t>Temática</t>
  </si>
  <si>
    <t>Mes</t>
  </si>
  <si>
    <t>Fecha de la Formación</t>
  </si>
  <si>
    <t>Día</t>
  </si>
  <si>
    <t>Hora Inicio</t>
  </si>
  <si>
    <t>Hora Fin</t>
  </si>
  <si>
    <t>Horas Programadas Taller</t>
  </si>
  <si>
    <t>Tipo de Actividad</t>
  </si>
  <si>
    <t>Modalidad</t>
  </si>
  <si>
    <t>Lugar</t>
  </si>
  <si>
    <t>Región</t>
  </si>
  <si>
    <t>Enlace Virtual  / híbrido</t>
  </si>
  <si>
    <t>Envio Programación</t>
  </si>
  <si>
    <t>Estado de la  Actividad</t>
  </si>
  <si>
    <t>N° de Asistentes</t>
  </si>
  <si>
    <t>Cargue Evidencia</t>
  </si>
  <si>
    <t xml:space="preserve">Nombre del Consultor </t>
  </si>
  <si>
    <t xml:space="preserve">Cédula </t>
  </si>
  <si>
    <t>E- mail Personal / E - mail corporativo</t>
  </si>
  <si>
    <t>Celular</t>
  </si>
  <si>
    <t>Dirección</t>
  </si>
  <si>
    <t>Tipo de Vinculación</t>
  </si>
  <si>
    <t>Número de Horas a Pagar al Docente</t>
  </si>
  <si>
    <t>Número de Horas a Cobrar a CCB</t>
  </si>
  <si>
    <t xml:space="preserve"> Clasificación Valor Hora </t>
  </si>
  <si>
    <t xml:space="preserve"> Valor Hora  </t>
  </si>
  <si>
    <t xml:space="preserve"> Gastos de   Traslado  </t>
  </si>
  <si>
    <t xml:space="preserve"> Valor Total a Pagar al Docente </t>
  </si>
  <si>
    <t xml:space="preserve">Valor Hora a Cobrar a CCB </t>
  </si>
  <si>
    <t>Valor Total a Cobrar a CCB</t>
  </si>
  <si>
    <t>Número de OAMP Consultor</t>
  </si>
  <si>
    <t>Fecha Inicio de OAMP Consultor</t>
  </si>
  <si>
    <t>Entregables</t>
  </si>
  <si>
    <t>Dependencia</t>
  </si>
  <si>
    <t xml:space="preserve">Observaciones </t>
  </si>
  <si>
    <t> </t>
  </si>
  <si>
    <t xml:space="preserve"> TALLERES, ASESORÍAS GRUPALES O CÁPSULAS
Asesoria individual </t>
  </si>
  <si>
    <t> presencial
Virtual 
Hibrida</t>
  </si>
  <si>
    <t> Direccion
Datos</t>
  </si>
  <si>
    <t>SI / NO</t>
  </si>
  <si>
    <t>Realizada /Cancelada</t>
  </si>
  <si>
    <t> Si/NO</t>
  </si>
  <si>
    <t xml:space="preserve"> $                             -  </t>
  </si>
  <si>
    <t xml:space="preserve"> De acuerdo a cada ruta </t>
  </si>
  <si>
    <t xml:space="preserve"> Dir. Relacionamiento Empresarial </t>
  </si>
  <si>
    <t>Azul CCB Info correo electronico</t>
  </si>
  <si>
    <t>Morado Profesionales (Gestoras)</t>
  </si>
  <si>
    <t>Uso interno del proceso</t>
  </si>
  <si>
    <t>Ruta</t>
  </si>
  <si>
    <t>Área Conocimiento</t>
  </si>
  <si>
    <t>Fecha de la formación</t>
  </si>
  <si>
    <t>Horas programadas taller</t>
  </si>
  <si>
    <t>Clasificación Valor</t>
  </si>
  <si>
    <t xml:space="preserve">Consultor </t>
  </si>
  <si>
    <t>Valor Hora Docente</t>
  </si>
  <si>
    <t>IVA</t>
  </si>
  <si>
    <t>Viáticos por traslado</t>
  </si>
  <si>
    <t>Valor total a pagar al docente</t>
  </si>
  <si>
    <t>Tipo de persona Natural - Jurídica</t>
  </si>
  <si>
    <t xml:space="preserve">Valor hora a cobrar a CCB </t>
  </si>
  <si>
    <t xml:space="preserve">Valor total a cobrar a CCB </t>
  </si>
  <si>
    <t>Número de Contrato / Monto Agotable</t>
  </si>
  <si>
    <t>Número de Reserva</t>
  </si>
  <si>
    <t>Número de Horas monto agotable</t>
  </si>
  <si>
    <t>Fecha de Inicio Contrato Monto Agotable</t>
  </si>
  <si>
    <t>Asistencias</t>
  </si>
  <si>
    <t xml:space="preserve">6. Crecimiento y Fortalecimiento </t>
  </si>
  <si>
    <t>Gustavo Aroca Cespedes</t>
  </si>
  <si>
    <t>A0000073977</t>
  </si>
  <si>
    <t>Inicia tu Negocio con pie derecho</t>
  </si>
  <si>
    <t>Marzo</t>
  </si>
  <si>
    <t>Virtual - Todas las Rutas menos Internal e Innovación</t>
  </si>
  <si>
    <t>$ 80.000</t>
  </si>
  <si>
    <t>CCBLocal CEAD Kennedy</t>
  </si>
  <si>
    <t>Tomás Enrique Martínez Ortiz</t>
  </si>
  <si>
    <t>320 843 7253</t>
  </si>
  <si>
    <t xml:space="preserve">Av calle 32 # 5 - 10  </t>
  </si>
  <si>
    <t>Internacionalización virtual</t>
  </si>
  <si>
    <t>$ 90.000</t>
  </si>
  <si>
    <t>Innovación virtual</t>
  </si>
  <si>
    <t>Presencial Bogotá y Soacha urbano</t>
  </si>
  <si>
    <t>$ 85.000</t>
  </si>
  <si>
    <t>Internacionalización presencial</t>
  </si>
  <si>
    <t>$ 95.000</t>
  </si>
  <si>
    <t>Innovación presencial</t>
  </si>
  <si>
    <t>Residencia en región y zona de influencia de la región</t>
  </si>
  <si>
    <t>Región 1</t>
  </si>
  <si>
    <t>Región 2</t>
  </si>
  <si>
    <t>Región 3</t>
  </si>
  <si>
    <t>Región 4</t>
  </si>
  <si>
    <t>Formato orden de servicio OAMP</t>
  </si>
  <si>
    <t>Código: GJ-FM-16</t>
  </si>
  <si>
    <t>Versión: 2.0</t>
  </si>
  <si>
    <t>Fecha: 09/08/2024</t>
  </si>
  <si>
    <t>Página: 1 de 1</t>
  </si>
  <si>
    <t>Fecha:</t>
  </si>
  <si>
    <t>Numero de Orden</t>
  </si>
  <si>
    <t>Nombre del contratista</t>
  </si>
  <si>
    <t>Cédula</t>
  </si>
  <si>
    <t>Dependencia:</t>
  </si>
  <si>
    <t>Valor Total a Pagar</t>
  </si>
  <si>
    <t>N° de contrato</t>
  </si>
  <si>
    <t>Nombre del Programa y ruta</t>
  </si>
  <si>
    <t>Nombre del sector ( si aplica )</t>
  </si>
  <si>
    <t>N° de Horas</t>
  </si>
  <si>
    <t>Clasificación valor hora</t>
  </si>
  <si>
    <t>Valor Total</t>
  </si>
  <si>
    <t>Total Horas Ejecutadas</t>
  </si>
  <si>
    <t>Observaciones:</t>
  </si>
  <si>
    <t>_________________________</t>
  </si>
  <si>
    <t>ANDREA RODRIGUEZ ARANGO</t>
  </si>
  <si>
    <t xml:space="preserve">DIRECTORA </t>
  </si>
  <si>
    <t>NOMBRE</t>
  </si>
  <si>
    <t>CARGO</t>
  </si>
  <si>
    <t>FIRMA</t>
  </si>
  <si>
    <t>PROYECTÓ</t>
  </si>
  <si>
    <t>Profesional de Proyectos</t>
  </si>
  <si>
    <t>REVISÓ</t>
  </si>
  <si>
    <t>Coordinador PMO</t>
  </si>
  <si>
    <t>APROBÓ</t>
  </si>
  <si>
    <t>Directora Relacionamiento Empresarial</t>
  </si>
  <si>
    <t>Los arriba firmantes declaramos que hemos revisado el presente documento y lo encontramos ajustado a la norma y
disposiciones legales y/o técnicas y por lo tanto, bajo nuestra responsabilidad los presentamos para la firma del remitente.</t>
  </si>
  <si>
    <t>NÚMERO DE RESERVA</t>
  </si>
  <si>
    <t>CENTRO COSTO</t>
  </si>
  <si>
    <t>NOMBRE CENTRO COSTO</t>
  </si>
  <si>
    <t xml:space="preserve">PROGRAMA </t>
  </si>
  <si>
    <t>SECTOR</t>
  </si>
  <si>
    <t>N° CONSULTOR</t>
  </si>
  <si>
    <t>NOMBRE CONSULTOR</t>
  </si>
  <si>
    <t>CEDULA</t>
  </si>
  <si>
    <t>CONSECUTIVO OAMP</t>
  </si>
  <si>
    <t>FECHA FIRMA AOMP</t>
  </si>
  <si>
    <t>Abril</t>
  </si>
  <si>
    <t>Mayo</t>
  </si>
  <si>
    <t>Junio</t>
  </si>
  <si>
    <t>Agosto</t>
  </si>
  <si>
    <t>Septiembre</t>
  </si>
  <si>
    <t>Octubre</t>
  </si>
  <si>
    <t>Noviembre</t>
  </si>
  <si>
    <t>Diciembre</t>
  </si>
  <si>
    <t>Totales</t>
  </si>
  <si>
    <t>Pendiente por ejecutar</t>
  </si>
  <si>
    <t>NUMERO DE HORAS</t>
  </si>
  <si>
    <t>VALOR POR HORA</t>
  </si>
  <si>
    <t>VALOR TOTAL X HORAS</t>
  </si>
  <si>
    <t>Acumulado numero de horas</t>
  </si>
  <si>
    <t>Acumulado valor total</t>
  </si>
  <si>
    <t>Acumulado TOTAL por sector</t>
  </si>
  <si>
    <t>Acumulado VALOR por sector</t>
  </si>
  <si>
    <t xml:space="preserve"> TOTAL por sector</t>
  </si>
  <si>
    <t xml:space="preserve"> VALOR por sector</t>
  </si>
  <si>
    <t>Camilo Andrés Garzón Gutiérrez</t>
  </si>
  <si>
    <t>001-2025-0023</t>
  </si>
  <si>
    <t>Daniel Felipe Rubio Velandia</t>
  </si>
  <si>
    <t>001-2025-0051</t>
  </si>
  <si>
    <t>Harvey Arturo Ramos Velásquez</t>
  </si>
  <si>
    <t>001-2025-0025</t>
  </si>
  <si>
    <t>Hernán Mauricio Cortés López</t>
  </si>
  <si>
    <t>001-2025-0056</t>
  </si>
  <si>
    <t>Jaime Alberto Burgos González</t>
  </si>
  <si>
    <t>001-2025-0035</t>
  </si>
  <si>
    <t>Jorge Andrés Rincón Silva</t>
  </si>
  <si>
    <t>001-2025-0047</t>
  </si>
  <si>
    <t>Julieth Viviana Tolosa Cruz</t>
  </si>
  <si>
    <t>001-2025-0010</t>
  </si>
  <si>
    <t>Lida Marcela Salazar Osorio</t>
  </si>
  <si>
    <t>001-2025-0044</t>
  </si>
  <si>
    <t>Lizeth Nathalia Zamudio Rojas</t>
  </si>
  <si>
    <t>001-2025-0037</t>
  </si>
  <si>
    <t>Luis Hernán Gamba</t>
  </si>
  <si>
    <t>001-2025-0015</t>
  </si>
  <si>
    <t>Luz Andrea Ramírez Arias</t>
  </si>
  <si>
    <t>001-2025-0042</t>
  </si>
  <si>
    <t>Natalia Andrea Parra Sanchez</t>
  </si>
  <si>
    <t>001-2025-0036</t>
  </si>
  <si>
    <t>Nubia Peñuela Urrea</t>
  </si>
  <si>
    <t>001-2025-0008</t>
  </si>
  <si>
    <t>Olga Lucia Arcila Real</t>
  </si>
  <si>
    <t>001-2025-0033</t>
  </si>
  <si>
    <t>Ricardo Coronado Otalora</t>
  </si>
  <si>
    <t>001-2025-0053</t>
  </si>
  <si>
    <t>Saida Liliana León Moreno</t>
  </si>
  <si>
    <t>001-2025-0013</t>
  </si>
  <si>
    <t>001-2025-0054</t>
  </si>
  <si>
    <t>Wilmar Rene Reyes García</t>
  </si>
  <si>
    <t>001-2025-0022</t>
  </si>
  <si>
    <t>Alex Giovanny Pinto</t>
  </si>
  <si>
    <t>Marketing -Modelo de Negocio-Herramientas IA</t>
  </si>
  <si>
    <t>Carlos Enrique Gómez Umaña</t>
  </si>
  <si>
    <t>Marketing-Modelo de Negocio -Portafolio de Productos- Estrategia de Marca</t>
  </si>
  <si>
    <t>Cielo Carolina Reyes Cabrera</t>
  </si>
  <si>
    <t>Financiero y Tributario</t>
  </si>
  <si>
    <t>Daniel Fernando Camacho Camacho</t>
  </si>
  <si>
    <t>Innovación-Metodologías Ágiles-Marketing-Estrategia de Marca</t>
  </si>
  <si>
    <t>Daniela Catherine Del Hierro Patiño</t>
  </si>
  <si>
    <t>No Aplica</t>
  </si>
  <si>
    <t>Diego Mauricio Marroquín Carrasco</t>
  </si>
  <si>
    <t xml:space="preserve">Modelo de Negocio- Mercadeo y Ventas -Estratetegia Comercial-Pitch-Innovación- Metodologias ágiles </t>
  </si>
  <si>
    <t>Elkyn Arnaldo Rodríguez Jiménez</t>
  </si>
  <si>
    <t>Gillyam German Martinez</t>
  </si>
  <si>
    <t>Marketing-Modelo de Negocio -Mercadeo y Publicidad</t>
  </si>
  <si>
    <t>Hernán Antonio Montoya Uribe</t>
  </si>
  <si>
    <t>Marketing-Modelo de Negocio -Mercadeo y Publicidad-Pricing y monetización-Innovacióin</t>
  </si>
  <si>
    <t>Jhon Edinson Lugo Vega</t>
  </si>
  <si>
    <t>Herramientas IA - Innovación</t>
  </si>
  <si>
    <t>John Alejandro Buitrago Ibarra</t>
  </si>
  <si>
    <t>Jonnathan López Hurtado</t>
  </si>
  <si>
    <t>Juan Gabriel Cuervo Pinilla</t>
  </si>
  <si>
    <t>Marketing-Modelo de Negocio -Portafolio de Productos- Estrategia de Marca- Pricing y monetización-finanzas</t>
  </si>
  <si>
    <t>Vladimir Andrés Cabrejo Félix</t>
  </si>
  <si>
    <t>Viviana Galindo Cardona</t>
  </si>
  <si>
    <t>Angelica María Romero Pinzón</t>
  </si>
  <si>
    <t>Bezna Catalina Diaz Casañas</t>
  </si>
  <si>
    <t>Daniel Andrés Zarate Giraldo</t>
  </si>
  <si>
    <t>José Luis Puentes Niño</t>
  </si>
  <si>
    <t>Julián Esteban Giraldo Pinzón</t>
  </si>
  <si>
    <t>Programa de Desarrollo proveedores (6 empresas ancla)</t>
  </si>
  <si>
    <t>María Isabel Rincón Zambrano</t>
  </si>
  <si>
    <t>Alejandra María Moncada Sánchez</t>
  </si>
  <si>
    <t>María Victoria Tinjacá Sarabanda</t>
  </si>
  <si>
    <t>Marlen Liliana Solís López</t>
  </si>
  <si>
    <t>Natalia Varón Betancourt</t>
  </si>
  <si>
    <t>Nicolas Cardozo Achury</t>
  </si>
  <si>
    <t>Sandra Milena Albarracín Sánchez</t>
  </si>
  <si>
    <t>Claudia Lorena Gómez Franco</t>
  </si>
  <si>
    <t>Fernando Restrepo Jaramillo</t>
  </si>
  <si>
    <t>Iván Camilo Gutiérrez Carrasco</t>
  </si>
  <si>
    <t>Juan Alejandro Gutiérrez Hurtado</t>
  </si>
  <si>
    <t>Juan Camilo Osorio Gutierrez</t>
  </si>
  <si>
    <t>Luz Carmen Anaya Saladen</t>
  </si>
  <si>
    <t>Myriam Esperanza Hurtado Ariza</t>
  </si>
  <si>
    <t>Oscar David Boada López</t>
  </si>
  <si>
    <t>Paola Andrea Jaramillo Mejía</t>
  </si>
  <si>
    <t>Román Enrique Torres Sierra</t>
  </si>
  <si>
    <t>Eliana Marcela Gómez Serrano</t>
  </si>
  <si>
    <t>Katherine Andrea Betancur García</t>
  </si>
  <si>
    <t>Rafael Alfonso Toro Guzmán</t>
  </si>
  <si>
    <t>Rodrigo Echeverry Trujillo</t>
  </si>
  <si>
    <t>Zully Mireya Jiménez Calvo</t>
  </si>
  <si>
    <t>Área del conocimiento</t>
  </si>
  <si>
    <t>No Orden Servicio</t>
  </si>
  <si>
    <t>Adriana Marcela Diaz Jaime</t>
  </si>
  <si>
    <t>001-2025-0004</t>
  </si>
  <si>
    <t>Juridico, Formalización y Tributario</t>
  </si>
  <si>
    <t>Marketing, Mercadeo y Ventas</t>
  </si>
  <si>
    <t>Juridico y Tributario</t>
  </si>
  <si>
    <t>Marketing, Mercadeo y Ventas,  Formalización, Modelo de negocio</t>
  </si>
  <si>
    <t>Contabilidad, Finanzas y Tributario</t>
  </si>
  <si>
    <t>Johana Carolina Reyes Rubiano</t>
  </si>
  <si>
    <t>Subida sharepoint 2904</t>
  </si>
  <si>
    <t>Jorge Enrique Bautista Cusguén</t>
  </si>
  <si>
    <t>001-2025-0031</t>
  </si>
  <si>
    <t>Modelo de negocio, Mercadeo y Ventas</t>
  </si>
  <si>
    <t>Finanzas</t>
  </si>
  <si>
    <t>Marco Antonio Velandia Ramos</t>
  </si>
  <si>
    <t>Martha Lucia Chaparro González</t>
  </si>
  <si>
    <t>Modelo de negocio, Formalización</t>
  </si>
  <si>
    <t>Juridico, Formalización y Talento Humano</t>
  </si>
  <si>
    <t>Mercadeo y Ventas,  Formalización, Modelo de negocio</t>
  </si>
  <si>
    <t>JOSE ARTURO CORTES OCHOA</t>
  </si>
  <si>
    <t>LUIS CARLOS SEPULVEDA</t>
  </si>
  <si>
    <t>DIANA CECILIA ALBARRACÌN</t>
  </si>
  <si>
    <t>001-2025-0060</t>
  </si>
  <si>
    <t>001-2025-0046</t>
  </si>
  <si>
    <t>JULIO CESAR RAYO</t>
  </si>
  <si>
    <t>001-2025-0050</t>
  </si>
  <si>
    <t>001-2025-0057</t>
  </si>
  <si>
    <t>Talento Humano</t>
  </si>
  <si>
    <t>001-2025-0055</t>
  </si>
  <si>
    <t>Cindy Julliet Piragauta Niño</t>
  </si>
  <si>
    <t>001-2025-0038</t>
  </si>
  <si>
    <t>Abogada Talento Humano-fiananciera</t>
  </si>
  <si>
    <t>001-2025-0006</t>
  </si>
  <si>
    <t>Magda Johanna Diaz Ávila</t>
  </si>
  <si>
    <t>001-2025-0002</t>
  </si>
  <si>
    <t>001-2025-0026</t>
  </si>
  <si>
    <t>Luis Fernando Muñoz Berrio</t>
  </si>
  <si>
    <t>001-2025-0059</t>
  </si>
  <si>
    <t>001-2025-0003</t>
  </si>
  <si>
    <t>001-2025-0067</t>
  </si>
  <si>
    <t>001-2025-0045</t>
  </si>
  <si>
    <t>001-2025-0048</t>
  </si>
  <si>
    <t>001-2025-0014</t>
  </si>
  <si>
    <t>001-2025-0024</t>
  </si>
  <si>
    <t>Magda Lucia Menjura Ramírez</t>
  </si>
  <si>
    <t>001-2025-0019</t>
  </si>
  <si>
    <t>001-2025-0007</t>
  </si>
  <si>
    <t>Daniel Danilo Delgado Duque</t>
  </si>
  <si>
    <t>Diego Alejandro Serna Zapata</t>
  </si>
  <si>
    <t>Eric Daniel Moreno Muñoz</t>
  </si>
  <si>
    <t>Libia Esperanza Benavidez Caceres</t>
  </si>
  <si>
    <t>001-2025-0058</t>
  </si>
  <si>
    <t>001-2025-0001</t>
  </si>
  <si>
    <t>Samuel Carrasco Suarez</t>
  </si>
  <si>
    <t>Carlos Alberto Pinzon Medina</t>
  </si>
  <si>
    <t>Duver Olarte</t>
  </si>
  <si>
    <t>001-2025-0040</t>
  </si>
  <si>
    <t>001-2025-0027</t>
  </si>
  <si>
    <t>001-2025-0012</t>
  </si>
  <si>
    <t>001-2025-0049</t>
  </si>
  <si>
    <t>INFORME ACTIVIDADES CONSULTOR CONTRATO OAMP - 17455 CCB</t>
  </si>
  <si>
    <t>Nombre Consultor</t>
  </si>
  <si>
    <t xml:space="preserve">Cedula </t>
  </si>
  <si>
    <t>Teléfono</t>
  </si>
  <si>
    <t>Correo</t>
  </si>
  <si>
    <t>MES: XXXX</t>
  </si>
  <si>
    <t xml:space="preserve">Fecha </t>
  </si>
  <si>
    <t>Horario inicio</t>
  </si>
  <si>
    <t>Horario fin</t>
  </si>
  <si>
    <t>Horas Dictadas</t>
  </si>
  <si>
    <t>Valor hora</t>
  </si>
  <si>
    <t>Valor total horas</t>
  </si>
  <si>
    <t xml:space="preserve">Ruta </t>
  </si>
  <si>
    <t>Programa</t>
  </si>
  <si>
    <t>Tematica dictada</t>
  </si>
  <si>
    <t>Profesional a cargo de la ruta</t>
  </si>
  <si>
    <t>Lugar donde se presto el servicio</t>
  </si>
  <si>
    <t>Registro fotográfico y/o captura de pantalla Inicial</t>
  </si>
  <si>
    <t>Registro fotográfico y/o captura de pantalla Final</t>
  </si>
  <si>
    <t>Valor Hora Bogotá y Soacha</t>
  </si>
  <si>
    <t xml:space="preserve">Valor Hora </t>
  </si>
  <si>
    <t>Hora</t>
  </si>
  <si>
    <t>Valor Hora Región - COMO HONARARIOS INCLUYENDO TRANSPORTE</t>
  </si>
  <si>
    <t>Valor de la Hora</t>
  </si>
  <si>
    <t>Valor traslados Translados hasta por</t>
  </si>
  <si>
    <t>Valor a pagar si no se dictan horas</t>
  </si>
  <si>
    <t>Valor a pagar por hora si se dictan horas 2 de taller o asesoria</t>
  </si>
  <si>
    <t>Valor a pagar por hora si se dictan horas 3 de taller o asesoria</t>
  </si>
  <si>
    <t>Valor a pagar por hora si se dictan horas 4 o más de taller o asesoria</t>
  </si>
  <si>
    <t>$ 30.000</t>
  </si>
  <si>
    <t>$ 105.000</t>
  </si>
  <si>
    <t>$ 100.000</t>
  </si>
  <si>
    <t>$ 97.500</t>
  </si>
  <si>
    <t>$ 60.000</t>
  </si>
  <si>
    <t>$ 125.000</t>
  </si>
  <si>
    <t>$ 115.000</t>
  </si>
  <si>
    <t>$ 110.000</t>
  </si>
  <si>
    <t>$ 142.500</t>
  </si>
  <si>
    <t>$ 128.333</t>
  </si>
  <si>
    <t>$ 121.250</t>
  </si>
  <si>
    <t>$ 160.000</t>
  </si>
  <si>
    <t>$ 141.666</t>
  </si>
  <si>
    <t>$ 132.500</t>
  </si>
  <si>
    <t>INFORME CONTRATO</t>
  </si>
  <si>
    <r>
      <t>MARZO</t>
    </r>
    <r>
      <rPr>
        <b/>
        <sz val="9"/>
        <color rgb="FF000000"/>
        <rFont val="Arial"/>
        <family val="2"/>
      </rPr>
      <t xml:space="preserve"> DE 2025</t>
    </r>
  </si>
  <si>
    <r>
      <t xml:space="preserve">PROGRAMA DE </t>
    </r>
    <r>
      <rPr>
        <b/>
        <sz val="9"/>
        <color rgb="FFFF0000"/>
        <rFont val="Arial"/>
        <family val="2"/>
      </rPr>
      <t>INTERNACIONALIZACIÓN</t>
    </r>
  </si>
  <si>
    <r>
      <t xml:space="preserve">En el mes </t>
    </r>
    <r>
      <rPr>
        <sz val="11"/>
        <color rgb="FFFF0000"/>
        <rFont val="Aptos Narrow"/>
        <family val="2"/>
      </rPr>
      <t>marzo</t>
    </r>
    <r>
      <rPr>
        <sz val="11"/>
        <color rgb="FF000000"/>
        <rFont val="Aptos Narrow"/>
        <family val="2"/>
      </rPr>
      <t xml:space="preserve"> de 2025 la Fundación Universitaria Empresarial de la Cámara de Comercio de Bogotá - Uniempresarial con NIT 830084876 - 6 prestó los servicios de asesoría individual y talleres en el programa de</t>
    </r>
    <r>
      <rPr>
        <sz val="11"/>
        <color rgb="FFFF0000"/>
        <rFont val="Aptos Narrow"/>
        <family val="2"/>
      </rPr>
      <t xml:space="preserve"> Internacionalización</t>
    </r>
    <r>
      <rPr>
        <sz val="11"/>
        <color rgb="FF000000"/>
        <rFont val="Aptos Narrow"/>
        <family val="2"/>
      </rPr>
      <t>, como se relaciona a continuación:</t>
    </r>
  </si>
  <si>
    <r>
      <t>INFORMACIÓN EJECUCIÓN CONTRATO</t>
    </r>
    <r>
      <rPr>
        <sz val="9"/>
        <color rgb="FF000000"/>
        <rFont val="Arial"/>
        <family val="2"/>
      </rPr>
      <t xml:space="preserve"> (por programa)</t>
    </r>
  </si>
  <si>
    <r>
      <t>INFORMACIÓN EJECUCIÓN HORAS</t>
    </r>
    <r>
      <rPr>
        <sz val="9"/>
        <color rgb="FF000000"/>
        <rFont val="Arial"/>
        <family val="2"/>
      </rPr>
      <t xml:space="preserve"> (por programa)</t>
    </r>
  </si>
  <si>
    <t>Valor total contrato</t>
  </si>
  <si>
    <t> $</t>
  </si>
  <si>
    <t>No. total horas</t>
  </si>
  <si>
    <r>
      <t> </t>
    </r>
    <r>
      <rPr>
        <sz val="9"/>
        <color rgb="FFFF0000"/>
        <rFont val="Arial"/>
        <family val="2"/>
      </rPr>
      <t>xxx</t>
    </r>
  </si>
  <si>
    <t>Valor ejecutado en el mes</t>
  </si>
  <si>
    <t>No. horas ejecutadas en el mes</t>
  </si>
  <si>
    <t>Valor ejecutado acumulado</t>
  </si>
  <si>
    <t>No. horas ejecutadas acumulado</t>
  </si>
  <si>
    <t>Valor saldo del contrato</t>
  </si>
  <si>
    <t>No. horas saldo del contrato</t>
  </si>
  <si>
    <t xml:space="preserve">  Valor hora:</t>
  </si>
  <si>
    <r>
      <t xml:space="preserve">SEGUIMIENTO POR MES </t>
    </r>
    <r>
      <rPr>
        <sz val="9"/>
        <color rgb="FF000000"/>
        <rFont val="Arial"/>
        <family val="2"/>
      </rPr>
      <t>(ejecución de horas)</t>
    </r>
  </si>
  <si>
    <t>marzo</t>
  </si>
  <si>
    <t>abril</t>
  </si>
  <si>
    <t>mayo</t>
  </si>
  <si>
    <t>junio</t>
  </si>
  <si>
    <t>julio</t>
  </si>
  <si>
    <t>agosto</t>
  </si>
  <si>
    <t>septiembre</t>
  </si>
  <si>
    <t>octubre</t>
  </si>
  <si>
    <t>noviembre</t>
  </si>
  <si>
    <t>diciembre</t>
  </si>
  <si>
    <r>
      <t>xxx</t>
    </r>
    <r>
      <rPr>
        <sz val="9"/>
        <color rgb="FF000000"/>
        <rFont val="Arial"/>
        <family val="2"/>
      </rPr>
      <t> </t>
    </r>
  </si>
  <si>
    <r>
      <t xml:space="preserve">ASESORÍAS INDIVIDUALES: </t>
    </r>
    <r>
      <rPr>
        <i/>
        <sz val="9"/>
        <color rgb="FF000000"/>
        <rFont val="Arial"/>
        <family val="2"/>
      </rPr>
      <t xml:space="preserve">Durante el mes, en total se prestaron </t>
    </r>
    <r>
      <rPr>
        <b/>
        <i/>
        <sz val="9"/>
        <color rgb="FFFF0000"/>
        <rFont val="Arial"/>
        <family val="2"/>
      </rPr>
      <t xml:space="preserve">9 horas </t>
    </r>
    <r>
      <rPr>
        <i/>
        <sz val="9"/>
        <color rgb="FF000000"/>
        <rFont val="Arial"/>
        <family val="2"/>
      </rPr>
      <t xml:space="preserve">de asesoría individual en el marco del desarrollo del programa de </t>
    </r>
    <r>
      <rPr>
        <i/>
        <sz val="9"/>
        <color rgb="FFFF0000"/>
        <rFont val="Arial"/>
        <family val="2"/>
      </rPr>
      <t xml:space="preserve">Internacionalización </t>
    </r>
    <r>
      <rPr>
        <i/>
        <sz val="9"/>
        <color rgb="FF000000"/>
        <rFont val="Arial"/>
        <family val="2"/>
      </rPr>
      <t>de la Cámara de Comercio de Bogotá, como se detalla a continuación:</t>
    </r>
  </si>
  <si>
    <t>FECHA</t>
  </si>
  <si>
    <t>CÓDIGO DE AGENDA</t>
  </si>
  <si>
    <t>HORA</t>
  </si>
  <si>
    <r>
      <t>NOMBRE EMPRESARIO</t>
    </r>
    <r>
      <rPr>
        <b/>
        <sz val="5"/>
        <color rgb="FF000000"/>
        <rFont val="Arial"/>
        <family val="2"/>
      </rPr>
      <t xml:space="preserve"> (quien tomó la asesoría)</t>
    </r>
  </si>
  <si>
    <t>No. IDENTIFICACIÓN</t>
  </si>
  <si>
    <t>A0000057693</t>
  </si>
  <si>
    <t>3:00 PM a 4:00 PM</t>
  </si>
  <si>
    <t>Nombre completo</t>
  </si>
  <si>
    <t>CC. XXXX</t>
  </si>
  <si>
    <t>Total de horas de asesoría</t>
  </si>
  <si>
    <r>
      <t xml:space="preserve">TALLERES, ASESORÍAS GRUPALES O CÁPSULAS: </t>
    </r>
    <r>
      <rPr>
        <i/>
        <sz val="9"/>
        <color rgb="FF000000"/>
        <rFont val="Arial"/>
        <family val="2"/>
      </rPr>
      <t>Durante el mes,</t>
    </r>
    <r>
      <rPr>
        <sz val="9"/>
        <color rgb="FF000000"/>
        <rFont val="Arial"/>
        <family val="2"/>
      </rPr>
      <t xml:space="preserve"> e</t>
    </r>
    <r>
      <rPr>
        <i/>
        <sz val="9"/>
        <color rgb="FF000000"/>
        <rFont val="Arial"/>
        <family val="2"/>
      </rPr>
      <t xml:space="preserve">n total se prestaron </t>
    </r>
    <r>
      <rPr>
        <b/>
        <i/>
        <sz val="9"/>
        <color rgb="FFFF0000"/>
        <rFont val="Arial"/>
        <family val="2"/>
      </rPr>
      <t>28 horas</t>
    </r>
    <r>
      <rPr>
        <i/>
        <sz val="9"/>
        <color rgb="FFFF0000"/>
        <rFont val="Arial"/>
        <family val="2"/>
      </rPr>
      <t xml:space="preserve"> </t>
    </r>
    <r>
      <rPr>
        <i/>
        <sz val="9"/>
        <color rgb="FF000000"/>
        <rFont val="Arial"/>
        <family val="2"/>
      </rPr>
      <t xml:space="preserve">de </t>
    </r>
    <r>
      <rPr>
        <b/>
        <i/>
        <sz val="9"/>
        <color rgb="FFFF0000"/>
        <rFont val="Arial"/>
        <family val="2"/>
      </rPr>
      <t>talleres</t>
    </r>
    <r>
      <rPr>
        <i/>
        <sz val="9"/>
        <color rgb="FF000000"/>
        <rFont val="Arial"/>
        <family val="2"/>
      </rPr>
      <t xml:space="preserve"> en el marco del desarrollo del programa de </t>
    </r>
    <r>
      <rPr>
        <i/>
        <sz val="9"/>
        <color rgb="FFFF0000"/>
        <rFont val="Arial"/>
        <family val="2"/>
      </rPr>
      <t xml:space="preserve">Internacionalización </t>
    </r>
    <r>
      <rPr>
        <i/>
        <sz val="9"/>
        <color rgb="FF000000"/>
        <rFont val="Arial"/>
        <family val="2"/>
      </rPr>
      <t>de la Cámara de Comercio de Bogotá, como se detalla a continuación:</t>
    </r>
  </si>
  <si>
    <t>NOMBRE DEL SERVICIO</t>
  </si>
  <si>
    <t>SESIÓN</t>
  </si>
  <si>
    <t>No. HORAS</t>
  </si>
  <si>
    <r>
      <t> </t>
    </r>
    <r>
      <rPr>
        <sz val="9"/>
        <color rgb="FFFF0000"/>
        <rFont val="Arial"/>
        <family val="2"/>
      </rPr>
      <t>25/03/2025</t>
    </r>
  </si>
  <si>
    <r>
      <t>A0000057693</t>
    </r>
    <r>
      <rPr>
        <sz val="11"/>
        <color rgb="FF000000"/>
        <rFont val="Calibri"/>
        <family val="2"/>
      </rPr>
      <t> </t>
    </r>
  </si>
  <si>
    <t>Total horas talleres, asesorías grupales o cápsulas</t>
  </si>
  <si>
    <t>DETALLE DE ASESORÍAS INDIVIDUALES:</t>
  </si>
  <si>
    <t>No. asesoría</t>
  </si>
  <si>
    <t>Razón Social</t>
  </si>
  <si>
    <t>XXX</t>
  </si>
  <si>
    <t>Fecha</t>
  </si>
  <si>
    <t>Hora Final</t>
  </si>
  <si>
    <t>Link de ingreso</t>
  </si>
  <si>
    <t>Nombre de quien recibió asesoría</t>
  </si>
  <si>
    <r>
      <t>XXX</t>
    </r>
    <r>
      <rPr>
        <b/>
        <sz val="9"/>
        <color rgb="FFFF0000"/>
        <rFont val="Arial"/>
        <family val="2"/>
      </rPr>
      <t> </t>
    </r>
  </si>
  <si>
    <t>No. de identificación</t>
  </si>
  <si>
    <t>Tema de la asesoría</t>
  </si>
  <si>
    <t>Evidencia Fotográfica</t>
  </si>
  <si>
    <t>Evidencia cargue plataforma de Crecimiento Empresarial CCB</t>
  </si>
  <si>
    <t>Foto nítida con hora de inicio y finalización + fecha</t>
  </si>
  <si>
    <t>Pantallazo de Avanza</t>
  </si>
  <si>
    <t>DETALLE DE TALLERES, ASESORÍAS GRUPALES O CÁPSULAS:</t>
  </si>
  <si>
    <t xml:space="preserve">No. </t>
  </si>
  <si>
    <t>Nombre del servicio</t>
  </si>
  <si>
    <t>Link de ingreso (cuando aplique)</t>
  </si>
  <si>
    <r>
      <t> </t>
    </r>
    <r>
      <rPr>
        <sz val="9"/>
        <color rgb="FFFF0000"/>
        <rFont val="Arial"/>
        <family val="2"/>
      </rPr>
      <t>XXX</t>
    </r>
  </si>
  <si>
    <t>Foto</t>
  </si>
  <si>
    <t>Firma del proveedor:       _______________________</t>
  </si>
  <si>
    <t>Juan Alfredo Pinto Saavedra</t>
  </si>
  <si>
    <t>Rector</t>
  </si>
  <si>
    <t>Fundación Universitaria de la Cámara de Comercio de Bogotá – Uniempresarial</t>
  </si>
  <si>
    <t>NIT. 830084876 – 6</t>
  </si>
  <si>
    <r>
      <t>Fecha de presentación del informe</t>
    </r>
    <r>
      <rPr>
        <sz val="9"/>
        <color rgb="FF000000"/>
        <rFont val="Arial"/>
        <family val="2"/>
      </rPr>
      <t xml:space="preserve">: </t>
    </r>
    <r>
      <rPr>
        <sz val="9"/>
        <color rgb="FFFF0000"/>
        <rFont val="Arial"/>
        <family val="2"/>
      </rPr>
      <t xml:space="preserve">25 </t>
    </r>
    <r>
      <rPr>
        <sz val="9"/>
        <color rgb="FF000000"/>
        <rFont val="Arial"/>
        <family val="2"/>
      </rPr>
      <t xml:space="preserve">de </t>
    </r>
    <r>
      <rPr>
        <sz val="9"/>
        <color rgb="FFFF0000"/>
        <rFont val="Arial"/>
        <family val="2"/>
      </rPr>
      <t>marzo</t>
    </r>
    <r>
      <rPr>
        <sz val="9"/>
        <color rgb="FF000000"/>
        <rFont val="Arial"/>
        <family val="2"/>
      </rPr>
      <t xml:space="preserve"> de 2025</t>
    </r>
  </si>
  <si>
    <r>
      <t>Recibido a conformidad CCB: __</t>
    </r>
    <r>
      <rPr>
        <sz val="9"/>
        <color rgb="FFFF0000"/>
        <rFont val="Arial"/>
        <family val="2"/>
      </rPr>
      <t>Firma</t>
    </r>
    <r>
      <rPr>
        <b/>
        <sz val="9"/>
        <color rgb="FF000000"/>
        <rFont val="Arial"/>
        <family val="2"/>
      </rPr>
      <t>____________</t>
    </r>
  </si>
  <si>
    <t>Nombre líder de ruta</t>
  </si>
  <si>
    <r>
      <t xml:space="preserve">Fecha: </t>
    </r>
    <r>
      <rPr>
        <sz val="9"/>
        <color rgb="FFFF0000"/>
        <rFont val="Arial"/>
        <family val="2"/>
      </rPr>
      <t xml:space="preserve">25 </t>
    </r>
    <r>
      <rPr>
        <sz val="9"/>
        <color rgb="FF000000"/>
        <rFont val="Arial"/>
        <family val="2"/>
      </rPr>
      <t xml:space="preserve">de </t>
    </r>
    <r>
      <rPr>
        <sz val="9"/>
        <color rgb="FFFF0000"/>
        <rFont val="Arial"/>
        <family val="2"/>
      </rPr>
      <t>marzo</t>
    </r>
    <r>
      <rPr>
        <sz val="9"/>
        <color rgb="FF000000"/>
        <rFont val="Arial"/>
        <family val="2"/>
      </rPr>
      <t xml:space="preserve"> de 2025</t>
    </r>
  </si>
  <si>
    <t>Horas ejecutadas mayo</t>
  </si>
  <si>
    <t>Valor ejecutado mayo</t>
  </si>
  <si>
    <t>Horas ejecutadas junio</t>
  </si>
  <si>
    <t>Valor ejecutado junio</t>
  </si>
  <si>
    <t>Horas ejecutadas julio</t>
  </si>
  <si>
    <t>Valor ejecutado julio</t>
  </si>
  <si>
    <t>Horas ejecutadas agosto</t>
  </si>
  <si>
    <t>Valor ejecutado agosto</t>
  </si>
  <si>
    <t>Horas ejecutadas septiembre</t>
  </si>
  <si>
    <t>Valor ejecutado septiembre</t>
  </si>
  <si>
    <t>Horas ejecutadas octubre</t>
  </si>
  <si>
    <t>Valor ejecutado octubre</t>
  </si>
  <si>
    <t>Horas ejecutadas noviembre</t>
  </si>
  <si>
    <t>Valor ejecutado noviembre</t>
  </si>
  <si>
    <t>Horas ejecutadas diciembre</t>
  </si>
  <si>
    <t>Valor ejecutado diciembre</t>
  </si>
  <si>
    <t>Total horas</t>
  </si>
  <si>
    <t>Total Ejecutado</t>
  </si>
  <si>
    <t>Porcentaje de ejecución</t>
  </si>
  <si>
    <t>Horas pendientes por ejecutar</t>
  </si>
  <si>
    <t>Valor pendiente por ejecutar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</si>
</sst>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3" formatCode="_-* #,##0.00_-;\-* #,##0.00_-;_-* &quot;-&quot;??_-;_-@_-"/>
    <numFmt numFmtId="164" formatCode="#,##0.0"/>
    <numFmt numFmtId="165" formatCode="0.0%"/>
    <numFmt numFmtId="166" formatCode="[$$-240A]\ #,##0"/>
    <numFmt numFmtId="167" formatCode="_-* #,##0_-;\-* #,##0_-;_-* &quot;-&quot;??_-;_-@_-"/>
    <numFmt numFmtId="168" formatCode="_-* #,##0.00\ _€_-;\-* #,##0.00\ _€_-;_-* &quot;-&quot;??\ _€_-;_-@_-"/>
    <numFmt numFmtId="169" formatCode="0.0"/>
    <numFmt numFmtId="170" formatCode="d/mm/yyyy;@"/>
    <numFmt numFmtId="171" formatCode="_-[$$-240A]\ * #,##0_-;\-[$$-240A]\ * #,##0_-;_-[$$-240A]\ * &quot;-&quot;_-;_-@_-"/>
  </numFmts>
  <fonts count="76">
    <font>
      <sz val="11"/>
      <color theme="1"/>
      <name val="Aptos Narrow"/>
      <family val="2"/>
      <scheme val="minor"/>
    </font>
    <font>
      <sz val="11"/>
      <color theme="1"/>
      <name val="Aptos Narrow"/>
      <family val="2"/>
      <scheme val="minor"/>
    </font>
    <font>
      <sz val="10"/>
      <color theme="1"/>
      <name val="Segoe UI"/>
      <family val="2"/>
    </font>
    <font>
      <sz val="8"/>
      <color theme="1"/>
      <name val="Aptos Display"/>
      <family val="2"/>
      <scheme val="major"/>
    </font>
    <font>
      <b/>
      <sz val="8"/>
      <color theme="1"/>
      <name val="Aptos Display"/>
      <family val="2"/>
      <scheme val="major"/>
    </font>
    <font>
      <b/>
      <sz val="8"/>
      <color theme="0"/>
      <name val="Aptos Display"/>
      <family val="2"/>
      <scheme val="major"/>
    </font>
    <font>
      <sz val="8"/>
      <color theme="0"/>
      <name val="Aptos Display"/>
      <family val="2"/>
      <scheme val="major"/>
    </font>
    <font>
      <b/>
      <sz val="8"/>
      <color rgb="FFFF0000"/>
      <name val="Aptos Display"/>
      <family val="2"/>
      <scheme val="major"/>
    </font>
    <font>
      <b/>
      <sz val="9"/>
      <color theme="1"/>
      <name val="Aptos Display"/>
      <family val="2"/>
      <scheme val="major"/>
    </font>
    <font>
      <b/>
      <sz val="8"/>
      <color rgb="FF000000"/>
      <name val="Aptos Display"/>
      <family val="2"/>
      <scheme val="major"/>
    </font>
    <font>
      <b/>
      <sz val="9"/>
      <color theme="0"/>
      <name val="Aptos Narrow"/>
      <family val="2"/>
      <scheme val="minor"/>
    </font>
    <font>
      <sz val="9"/>
      <color theme="1"/>
      <name val="Aptos Narrow"/>
      <family val="2"/>
      <scheme val="minor"/>
    </font>
    <font>
      <sz val="9"/>
      <name val="Aptos Narrow"/>
      <family val="2"/>
      <scheme val="minor"/>
    </font>
    <font>
      <sz val="9"/>
      <color theme="1"/>
      <name val="Segoe UI"/>
      <family val="2"/>
    </font>
    <font>
      <b/>
      <sz val="9"/>
      <color theme="0"/>
      <name val="Segoe UI"/>
      <family val="2"/>
    </font>
    <font>
      <sz val="9"/>
      <color rgb="FFFF0000"/>
      <name val="Aptos Narrow"/>
      <family val="2"/>
      <scheme val="minor"/>
    </font>
    <font>
      <sz val="10"/>
      <name val="Arial"/>
      <family val="2"/>
    </font>
    <font>
      <b/>
      <sz val="9"/>
      <color indexed="62"/>
      <name val="Aptos Narrow"/>
      <family val="2"/>
      <scheme val="minor"/>
    </font>
    <font>
      <b/>
      <sz val="8"/>
      <color theme="1"/>
      <name val="Calibri Light"/>
      <family val="2"/>
    </font>
    <font>
      <b/>
      <sz val="8"/>
      <color rgb="FF000000"/>
      <name val="Calibri Light"/>
      <family val="2"/>
    </font>
    <font>
      <sz val="8"/>
      <color theme="1"/>
      <name val="Calibri Light"/>
      <family val="2"/>
    </font>
    <font>
      <sz val="8"/>
      <color theme="1"/>
      <name val="Aptos Narrow"/>
      <family val="2"/>
      <scheme val="minor"/>
    </font>
    <font>
      <u/>
      <sz val="11"/>
      <color theme="10"/>
      <name val="Aptos Narrow"/>
      <family val="2"/>
      <scheme val="minor"/>
    </font>
    <font>
      <b/>
      <sz val="7"/>
      <color theme="1"/>
      <name val="Arial"/>
      <family val="2"/>
    </font>
    <font>
      <sz val="7"/>
      <color theme="1"/>
      <name val="Arial"/>
      <family val="2"/>
    </font>
    <font>
      <u/>
      <sz val="7"/>
      <color theme="10"/>
      <name val="Arial"/>
      <family val="2"/>
    </font>
    <font>
      <u/>
      <sz val="7"/>
      <color theme="10"/>
      <name val="Arial"/>
    </font>
    <font>
      <sz val="7"/>
      <color theme="1"/>
      <name val="Arial"/>
    </font>
    <font>
      <sz val="8"/>
      <color theme="1"/>
      <name val="Arial"/>
    </font>
    <font>
      <u/>
      <sz val="8"/>
      <color theme="10"/>
      <name val="Aptos Narrow"/>
      <family val="2"/>
      <scheme val="minor"/>
    </font>
    <font>
      <sz val="7"/>
      <color rgb="FF000000"/>
      <name val="Arial"/>
      <charset val="1"/>
    </font>
    <font>
      <b/>
      <sz val="7"/>
      <color theme="1"/>
      <name val="Arial"/>
    </font>
    <font>
      <b/>
      <sz val="10"/>
      <color rgb="FF000000"/>
      <name val="Arial"/>
      <family val="2"/>
    </font>
    <font>
      <b/>
      <sz val="10"/>
      <color theme="1"/>
      <name val="Arial"/>
      <family val="2"/>
    </font>
    <font>
      <b/>
      <sz val="10"/>
      <color rgb="FF000000"/>
      <name val="Arial"/>
    </font>
    <font>
      <b/>
      <sz val="8"/>
      <name val="Arial"/>
    </font>
    <font>
      <b/>
      <sz val="8"/>
      <color rgb="FF000000"/>
      <name val="Arial"/>
    </font>
    <font>
      <sz val="8"/>
      <color rgb="FF000000"/>
      <name val="Arial"/>
    </font>
    <font>
      <b/>
      <sz val="9"/>
      <color rgb="FF000000"/>
      <name val="Arial"/>
      <family val="2"/>
    </font>
    <font>
      <sz val="9"/>
      <color rgb="FF000000"/>
      <name val="Arial"/>
      <family val="2"/>
    </font>
    <font>
      <sz val="12"/>
      <color rgb="FF000000"/>
      <name val="Aptos"/>
      <family val="2"/>
    </font>
    <font>
      <sz val="11"/>
      <color rgb="FF000000"/>
      <name val="Aptos Narrow"/>
      <family val="2"/>
    </font>
    <font>
      <sz val="10"/>
      <color rgb="FF000000"/>
      <name val="Arial"/>
      <family val="2"/>
    </font>
    <font>
      <b/>
      <sz val="14"/>
      <color rgb="FF000000"/>
      <name val="Calibri"/>
      <family val="2"/>
    </font>
    <font>
      <sz val="12"/>
      <color rgb="FFFFFFFF"/>
      <name val="Arial"/>
      <family val="2"/>
    </font>
    <font>
      <sz val="12"/>
      <color rgb="FF000000"/>
      <name val="Arial"/>
      <family val="2"/>
    </font>
    <font>
      <sz val="11"/>
      <color rgb="FF000000"/>
      <name val="Arial"/>
      <family val="2"/>
    </font>
    <font>
      <sz val="12"/>
      <color rgb="FF000000"/>
      <name val="Aptos Narrow"/>
      <family val="2"/>
    </font>
    <font>
      <b/>
      <sz val="9"/>
      <color rgb="FFFF0000"/>
      <name val="Arial"/>
      <family val="2"/>
    </font>
    <font>
      <sz val="11"/>
      <color rgb="FFFF0000"/>
      <name val="Aptos Narrow"/>
      <family val="2"/>
    </font>
    <font>
      <sz val="9"/>
      <color rgb="FFFF0000"/>
      <name val="Arial"/>
      <family val="2"/>
    </font>
    <font>
      <i/>
      <sz val="9"/>
      <color rgb="FF000000"/>
      <name val="Arial"/>
      <family val="2"/>
    </font>
    <font>
      <b/>
      <i/>
      <sz val="9"/>
      <color rgb="FFFF0000"/>
      <name val="Arial"/>
      <family val="2"/>
    </font>
    <font>
      <i/>
      <sz val="9"/>
      <color rgb="FFFF0000"/>
      <name val="Arial"/>
      <family val="2"/>
    </font>
    <font>
      <b/>
      <sz val="5"/>
      <color rgb="FF000000"/>
      <name val="Arial"/>
      <family val="2"/>
    </font>
    <font>
      <sz val="9"/>
      <color rgb="FF1C1C1B"/>
      <name val="Arial"/>
      <family val="2"/>
    </font>
    <font>
      <sz val="11"/>
      <color rgb="FF000000"/>
      <name val="Calibri"/>
      <family val="2"/>
    </font>
    <font>
      <sz val="11"/>
      <color rgb="FFFF0000"/>
      <name val="Calibri"/>
      <family val="2"/>
    </font>
    <font>
      <b/>
      <sz val="10"/>
      <color rgb="FFFFFFFF"/>
      <name val="Aptos Narrow"/>
      <family val="2"/>
    </font>
    <font>
      <sz val="10"/>
      <color rgb="FF000000"/>
      <name val="Aptos Narrow"/>
      <family val="2"/>
    </font>
    <font>
      <b/>
      <sz val="11"/>
      <color rgb="FFFFFFFF"/>
      <name val="Aptos Narrow"/>
      <family val="2"/>
    </font>
    <font>
      <sz val="10"/>
      <color rgb="FF000000"/>
      <name val="Arial Narrow"/>
      <family val="2"/>
    </font>
    <font>
      <b/>
      <sz val="8"/>
      <color theme="1"/>
      <name val="Arial"/>
    </font>
    <font>
      <b/>
      <sz val="8"/>
      <color theme="0"/>
      <name val="Arial"/>
      <family val="2"/>
    </font>
    <font>
      <b/>
      <sz val="8"/>
      <color theme="0"/>
      <name val="Arial"/>
    </font>
    <font>
      <b/>
      <sz val="9"/>
      <name val="Aptos Narrow"/>
      <family val="2"/>
      <scheme val="minor"/>
    </font>
    <font>
      <b/>
      <sz val="9"/>
      <color theme="1"/>
      <name val="Aptos Narrow"/>
      <family val="2"/>
      <scheme val="minor"/>
    </font>
    <font>
      <b/>
      <sz val="11"/>
      <color theme="1"/>
      <name val="Aptos Narrow"/>
      <family val="2"/>
      <scheme val="minor"/>
    </font>
    <font>
      <b/>
      <sz val="11"/>
      <color rgb="FFFFFFFF"/>
      <name val="Arial"/>
      <family val="2"/>
    </font>
    <font>
      <sz val="11"/>
      <name val="Arial"/>
      <family val="2"/>
    </font>
    <font>
      <u/>
      <sz val="11"/>
      <color rgb="FF467886"/>
      <name val="Arial"/>
      <family val="2"/>
    </font>
    <font>
      <b/>
      <sz val="16"/>
      <color rgb="FF000000"/>
      <name val="Aptos Narrow"/>
      <family val="2"/>
    </font>
    <font>
      <sz val="8"/>
      <color rgb="FF000000"/>
      <name val="Arial"/>
      <family val="2"/>
    </font>
    <font>
      <sz val="8"/>
      <color rgb="FFFFFFFF"/>
      <name val="Arial"/>
      <family val="2"/>
    </font>
    <font>
      <sz val="8"/>
      <color rgb="FFBFBFBF"/>
      <name val="Arial"/>
      <family val="2"/>
    </font>
    <font>
      <b/>
      <sz val="8"/>
      <color rgb="FF000000"/>
      <name val="Arial"/>
      <family val="2"/>
    </font>
  </fonts>
  <fills count="42">
    <fill>
      <patternFill patternType="none"/>
    </fill>
    <fill>
      <patternFill patternType="gray125"/>
    </fill>
    <fill>
      <patternFill patternType="solid">
        <fgColor theme="3" tint="0.749992370372631"/>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rgb="FFFF0000"/>
        <bgColor indexed="64"/>
      </patternFill>
    </fill>
    <fill>
      <patternFill patternType="solid">
        <fgColor rgb="FF99FFCC"/>
        <bgColor indexed="64"/>
      </patternFill>
    </fill>
    <fill>
      <patternFill patternType="solid">
        <fgColor rgb="FFFFFF00"/>
        <bgColor indexed="64"/>
      </patternFill>
    </fill>
    <fill>
      <patternFill patternType="solid">
        <fgColor theme="0"/>
        <bgColor indexed="64"/>
      </patternFill>
    </fill>
    <fill>
      <patternFill patternType="solid">
        <fgColor rgb="FF33CCFF"/>
        <bgColor indexed="64"/>
      </patternFill>
    </fill>
    <fill>
      <patternFill patternType="solid">
        <fgColor theme="4" tint="-0.249977111117893"/>
        <bgColor indexed="64"/>
      </patternFill>
    </fill>
    <fill>
      <patternFill patternType="solid">
        <fgColor theme="5" tint="0.59999389629810485"/>
        <bgColor indexed="64"/>
      </patternFill>
    </fill>
    <fill>
      <patternFill patternType="solid">
        <fgColor theme="8" tint="0.39997558519241921"/>
        <bgColor indexed="64"/>
      </patternFill>
    </fill>
    <fill>
      <patternFill patternType="solid">
        <fgColor rgb="FF00B050"/>
        <bgColor indexed="64"/>
      </patternFill>
    </fill>
    <fill>
      <patternFill patternType="solid">
        <fgColor rgb="FFFFC000"/>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theme="6" tint="0.39997558519241921"/>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3" tint="0.89999084444715716"/>
        <bgColor indexed="64"/>
      </patternFill>
    </fill>
    <fill>
      <patternFill patternType="solid">
        <fgColor theme="6" tint="0.59999389629810485"/>
        <bgColor indexed="64"/>
      </patternFill>
    </fill>
    <fill>
      <patternFill patternType="solid">
        <fgColor theme="4" tint="0.39997558519241921"/>
        <bgColor indexed="64"/>
      </patternFill>
    </fill>
    <fill>
      <patternFill patternType="solid">
        <fgColor theme="2"/>
        <bgColor indexed="64"/>
      </patternFill>
    </fill>
    <fill>
      <patternFill patternType="solid">
        <fgColor rgb="FFFFFFFF"/>
        <bgColor rgb="FF000000"/>
      </patternFill>
    </fill>
    <fill>
      <patternFill patternType="solid">
        <fgColor rgb="FF2F5496"/>
        <bgColor rgb="FF2F5496"/>
      </patternFill>
    </fill>
    <fill>
      <patternFill patternType="solid">
        <fgColor rgb="FFBFBFBF"/>
        <bgColor rgb="FF000000"/>
      </patternFill>
    </fill>
    <fill>
      <patternFill patternType="solid">
        <fgColor rgb="FF153D64"/>
        <bgColor rgb="FF000000"/>
      </patternFill>
    </fill>
    <fill>
      <patternFill patternType="solid">
        <fgColor rgb="FF156082"/>
        <bgColor rgb="FF000000"/>
      </patternFill>
    </fill>
    <fill>
      <patternFill patternType="solid">
        <fgColor rgb="FF782170"/>
        <bgColor rgb="FF000000"/>
      </patternFill>
    </fill>
    <fill>
      <patternFill patternType="solid">
        <fgColor rgb="FFA02B93"/>
        <bgColor rgb="FF000000"/>
      </patternFill>
    </fill>
    <fill>
      <patternFill patternType="solid">
        <fgColor rgb="FF104861"/>
        <bgColor rgb="FF000000"/>
      </patternFill>
    </fill>
    <fill>
      <patternFill patternType="solid">
        <fgColor rgb="FF92D050"/>
        <bgColor rgb="FF000000"/>
      </patternFill>
    </fill>
    <fill>
      <patternFill patternType="solid">
        <fgColor theme="6" tint="0.79998168889431442"/>
        <bgColor indexed="64"/>
      </patternFill>
    </fill>
    <fill>
      <patternFill patternType="solid">
        <fgColor theme="9" tint="0.39997558519241921"/>
        <bgColor indexed="64"/>
      </patternFill>
    </fill>
    <fill>
      <patternFill patternType="solid">
        <fgColor theme="9" tint="-0.249977111117893"/>
        <bgColor indexed="64"/>
      </patternFill>
    </fill>
    <fill>
      <patternFill patternType="solid">
        <fgColor theme="5" tint="0.39997558519241921"/>
        <bgColor indexed="64"/>
      </patternFill>
    </fill>
    <fill>
      <patternFill patternType="solid">
        <fgColor rgb="FFC00000"/>
        <bgColor indexed="64"/>
      </patternFill>
    </fill>
    <fill>
      <patternFill patternType="solid">
        <fgColor rgb="FF339933"/>
        <bgColor rgb="FF000000"/>
      </patternFill>
    </fill>
    <fill>
      <patternFill patternType="solid">
        <fgColor rgb="FFFF0000"/>
        <bgColor rgb="FF000000"/>
      </patternFill>
    </fill>
    <fill>
      <patternFill patternType="solid">
        <fgColor rgb="FF244061"/>
        <bgColor rgb="FF000000"/>
      </patternFill>
    </fill>
    <fill>
      <patternFill patternType="solid">
        <fgColor rgb="FF17365D"/>
        <bgColor rgb="FF000000"/>
      </patternFill>
    </fill>
  </fills>
  <borders count="120">
    <border>
      <left/>
      <right/>
      <top/>
      <bottom/>
      <diagonal/>
    </border>
    <border>
      <left style="medium">
        <color indexed="64"/>
      </left>
      <right style="thin">
        <color indexed="64"/>
      </right>
      <top style="medium">
        <color indexed="64"/>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bottom style="thin">
        <color auto="1"/>
      </bottom>
      <diagonal/>
    </border>
    <border>
      <left/>
      <right style="thin">
        <color auto="1"/>
      </right>
      <top style="thin">
        <color auto="1"/>
      </top>
      <bottom style="thin">
        <color auto="1"/>
      </bottom>
      <diagonal/>
    </border>
    <border>
      <left style="medium">
        <color indexed="64"/>
      </left>
      <right/>
      <top style="medium">
        <color indexed="64"/>
      </top>
      <bottom style="thin">
        <color auto="1"/>
      </bottom>
      <diagonal/>
    </border>
    <border>
      <left/>
      <right/>
      <top style="medium">
        <color indexed="64"/>
      </top>
      <bottom style="thin">
        <color auto="1"/>
      </bottom>
      <diagonal/>
    </border>
    <border>
      <left/>
      <right style="medium">
        <color indexed="64"/>
      </right>
      <top style="medium">
        <color indexed="64"/>
      </top>
      <bottom style="thin">
        <color auto="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diagonal/>
    </border>
    <border>
      <left style="thin">
        <color indexed="64"/>
      </left>
      <right style="thin">
        <color indexed="64"/>
      </right>
      <top style="thin">
        <color indexed="64"/>
      </top>
      <bottom/>
      <diagonal/>
    </border>
    <border>
      <left style="thin">
        <color auto="1"/>
      </left>
      <right/>
      <top style="thin">
        <color auto="1"/>
      </top>
      <bottom/>
      <diagonal/>
    </border>
    <border>
      <left/>
      <right style="medium">
        <color auto="1"/>
      </right>
      <top/>
      <bottom/>
      <diagonal/>
    </border>
    <border>
      <left style="medium">
        <color indexed="64"/>
      </left>
      <right style="medium">
        <color indexed="64"/>
      </right>
      <top style="medium">
        <color indexed="64"/>
      </top>
      <bottom/>
      <diagonal/>
    </border>
    <border>
      <left style="thin">
        <color indexed="64"/>
      </left>
      <right style="thin">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diagonal/>
    </border>
    <border>
      <left style="medium">
        <color indexed="64"/>
      </left>
      <right style="thin">
        <color auto="1"/>
      </right>
      <top style="thin">
        <color auto="1"/>
      </top>
      <bottom style="medium">
        <color indexed="64"/>
      </bottom>
      <diagonal/>
    </border>
    <border>
      <left style="thin">
        <color auto="1"/>
      </left>
      <right style="medium">
        <color auto="1"/>
      </right>
      <top style="thin">
        <color auto="1"/>
      </top>
      <bottom style="medium">
        <color auto="1"/>
      </bottom>
      <diagonal/>
    </border>
    <border>
      <left style="medium">
        <color indexed="64"/>
      </left>
      <right style="medium">
        <color indexed="64"/>
      </right>
      <top/>
      <bottom style="medium">
        <color indexed="64"/>
      </bottom>
      <diagonal/>
    </border>
    <border>
      <left/>
      <right/>
      <top style="medium">
        <color indexed="64"/>
      </top>
      <bottom/>
      <diagonal/>
    </border>
    <border>
      <left/>
      <right/>
      <top style="thin">
        <color auto="1"/>
      </top>
      <bottom/>
      <diagonal/>
    </border>
    <border>
      <left/>
      <right style="medium">
        <color auto="1"/>
      </right>
      <top style="thin">
        <color auto="1"/>
      </top>
      <bottom/>
      <diagonal/>
    </border>
    <border>
      <left style="medium">
        <color indexed="64"/>
      </left>
      <right style="medium">
        <color indexed="64"/>
      </right>
      <top/>
      <bottom/>
      <diagonal/>
    </border>
    <border>
      <left style="medium">
        <color auto="1"/>
      </left>
      <right/>
      <top/>
      <bottom/>
      <diagonal/>
    </border>
    <border>
      <left/>
      <right style="medium">
        <color indexed="64"/>
      </right>
      <top style="medium">
        <color indexed="64"/>
      </top>
      <bottom/>
      <diagonal/>
    </border>
    <border>
      <left style="medium">
        <color indexed="64"/>
      </left>
      <right/>
      <top/>
      <bottom style="thin">
        <color indexed="64"/>
      </bottom>
      <diagonal/>
    </border>
    <border>
      <left/>
      <right style="medium">
        <color auto="1"/>
      </right>
      <top/>
      <bottom style="thin">
        <color auto="1"/>
      </bottom>
      <diagonal/>
    </border>
    <border>
      <left style="medium">
        <color indexed="64"/>
      </left>
      <right/>
      <top style="medium">
        <color indexed="64"/>
      </top>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style="medium">
        <color indexed="64"/>
      </bottom>
      <diagonal/>
    </border>
    <border>
      <left/>
      <right/>
      <top style="thin">
        <color auto="1"/>
      </top>
      <bottom style="thin">
        <color auto="1"/>
      </bottom>
      <diagonal/>
    </border>
    <border>
      <left style="thin">
        <color auto="1"/>
      </left>
      <right style="thin">
        <color auto="1"/>
      </right>
      <top/>
      <bottom style="thin">
        <color auto="1"/>
      </bottom>
      <diagonal/>
    </border>
    <border>
      <left style="thin">
        <color rgb="FF000000"/>
      </left>
      <right style="thin">
        <color rgb="FF000000"/>
      </right>
      <top style="thin">
        <color rgb="FF000000"/>
      </top>
      <bottom style="thin">
        <color rgb="FF000000"/>
      </bottom>
      <diagonal/>
    </border>
    <border>
      <left style="thin">
        <color indexed="64"/>
      </left>
      <right/>
      <top/>
      <bottom/>
      <diagonal/>
    </border>
    <border>
      <left style="thin">
        <color auto="1"/>
      </left>
      <right/>
      <top/>
      <bottom style="thin">
        <color auto="1"/>
      </bottom>
      <diagonal/>
    </border>
    <border>
      <left/>
      <right style="thin">
        <color indexed="64"/>
      </right>
      <top/>
      <bottom/>
      <diagonal/>
    </border>
    <border>
      <left/>
      <right style="thin">
        <color auto="1"/>
      </right>
      <top/>
      <bottom style="thin">
        <color auto="1"/>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style="thin">
        <color indexed="64"/>
      </right>
      <top style="thin">
        <color indexed="64"/>
      </top>
      <bottom/>
      <diagonal/>
    </border>
    <border>
      <left style="thin">
        <color rgb="FF000000"/>
      </left>
      <right/>
      <top style="thin">
        <color rgb="FF000000"/>
      </top>
      <bottom style="thin">
        <color rgb="FF000000"/>
      </bottom>
      <diagonal/>
    </border>
    <border>
      <left style="thin">
        <color rgb="FF000000"/>
      </left>
      <right/>
      <top style="thin">
        <color rgb="FF000000"/>
      </top>
      <bottom/>
      <diagonal/>
    </border>
    <border>
      <left/>
      <right/>
      <top style="thin">
        <color rgb="FF000000"/>
      </top>
      <bottom style="thin">
        <color rgb="FF000000"/>
      </bottom>
      <diagonal/>
    </border>
    <border>
      <left style="thin">
        <color rgb="FF000000"/>
      </left>
      <right/>
      <top/>
      <bottom style="thin">
        <color rgb="FF000000"/>
      </bottom>
      <diagonal/>
    </border>
    <border>
      <left/>
      <right/>
      <top style="thin">
        <color rgb="FF000000"/>
      </top>
      <bottom/>
      <diagonal/>
    </border>
    <border>
      <left style="thin">
        <color rgb="FF000000"/>
      </left>
      <right style="thin">
        <color auto="1"/>
      </right>
      <top style="thin">
        <color auto="1"/>
      </top>
      <bottom/>
      <diagonal/>
    </border>
    <border>
      <left style="thin">
        <color rgb="FF000000"/>
      </left>
      <right style="thin">
        <color auto="1"/>
      </right>
      <top/>
      <bottom style="thin">
        <color auto="1"/>
      </bottom>
      <diagonal/>
    </border>
    <border>
      <left style="thin">
        <color rgb="FF000000"/>
      </left>
      <right style="thin">
        <color auto="1"/>
      </right>
      <top/>
      <bottom/>
      <diagonal/>
    </border>
    <border>
      <left style="thin">
        <color rgb="FF000000"/>
      </left>
      <right style="thin">
        <color rgb="FF000000"/>
      </right>
      <top style="thin">
        <color auto="1"/>
      </top>
      <bottom/>
      <diagonal/>
    </border>
    <border>
      <left style="thin">
        <color indexed="64"/>
      </left>
      <right style="thin">
        <color indexed="64"/>
      </right>
      <top/>
      <bottom style="thin">
        <color rgb="FF000000"/>
      </bottom>
      <diagonal/>
    </border>
    <border>
      <left/>
      <right/>
      <top/>
      <bottom style="thin">
        <color rgb="FF000000"/>
      </bottom>
      <diagonal/>
    </border>
    <border>
      <left/>
      <right style="thin">
        <color rgb="FF000000"/>
      </right>
      <top style="thin">
        <color rgb="FF000000"/>
      </top>
      <bottom style="thin">
        <color rgb="FF000000"/>
      </bottom>
      <diagonal/>
    </border>
    <border>
      <left style="thin">
        <color indexed="64"/>
      </left>
      <right style="thin">
        <color rgb="FF000000"/>
      </right>
      <top style="thin">
        <color indexed="64"/>
      </top>
      <bottom/>
      <diagonal/>
    </border>
    <border>
      <left style="thin">
        <color indexed="64"/>
      </left>
      <right style="thin">
        <color rgb="FF000000"/>
      </right>
      <top/>
      <bottom style="thin">
        <color auto="1"/>
      </bottom>
      <diagonal/>
    </border>
    <border>
      <left style="thin">
        <color indexed="64"/>
      </left>
      <right style="thin">
        <color rgb="FF000000"/>
      </right>
      <top/>
      <bottom/>
      <diagonal/>
    </border>
    <border>
      <left/>
      <right style="medium">
        <color rgb="FF000000"/>
      </right>
      <top style="medium">
        <color indexed="64"/>
      </top>
      <bottom style="medium">
        <color indexed="64"/>
      </bottom>
      <diagonal/>
    </border>
    <border>
      <left style="medium">
        <color indexed="64"/>
      </left>
      <right style="medium">
        <color indexed="64"/>
      </right>
      <top/>
      <bottom style="medium">
        <color rgb="FF000000"/>
      </bottom>
      <diagonal/>
    </border>
    <border>
      <left/>
      <right style="thin">
        <color rgb="FF000000"/>
      </right>
      <top/>
      <bottom style="thin">
        <color rgb="FF000000"/>
      </bottom>
      <diagonal/>
    </border>
    <border>
      <left style="thin">
        <color rgb="FF000000"/>
      </left>
      <right/>
      <top/>
      <bottom/>
      <diagonal/>
    </border>
    <border>
      <left/>
      <right style="thin">
        <color rgb="FF000000"/>
      </right>
      <top/>
      <bottom/>
      <diagonal/>
    </border>
    <border>
      <left style="thin">
        <color rgb="FFFFFFFF"/>
      </left>
      <right/>
      <top/>
      <bottom/>
      <diagonal/>
    </border>
    <border>
      <left/>
      <right style="medium">
        <color rgb="FF000000"/>
      </right>
      <top style="medium">
        <color indexed="64"/>
      </top>
      <bottom style="thin">
        <color rgb="FFFFFFFF"/>
      </bottom>
      <diagonal/>
    </border>
    <border>
      <left/>
      <right/>
      <top style="medium">
        <color indexed="64"/>
      </top>
      <bottom style="thin">
        <color rgb="FFFFFFFF"/>
      </bottom>
      <diagonal/>
    </border>
    <border>
      <left/>
      <right/>
      <top style="thin">
        <color rgb="FFFFFFFF"/>
      </top>
      <bottom/>
      <diagonal/>
    </border>
    <border>
      <left/>
      <right style="medium">
        <color rgb="FF000000"/>
      </right>
      <top/>
      <bottom/>
      <diagonal/>
    </border>
    <border>
      <left/>
      <right style="medium">
        <color rgb="FF000000"/>
      </right>
      <top style="thin">
        <color rgb="FFFFFFFF"/>
      </top>
      <bottom/>
      <diagonal/>
    </border>
    <border>
      <left style="medium">
        <color rgb="FF808080"/>
      </left>
      <right/>
      <top style="medium">
        <color rgb="FF808080"/>
      </top>
      <bottom style="thin">
        <color rgb="FFFFFFFF"/>
      </bottom>
      <diagonal/>
    </border>
    <border>
      <left/>
      <right/>
      <top style="medium">
        <color rgb="FF808080"/>
      </top>
      <bottom style="thin">
        <color rgb="FFFFFFFF"/>
      </bottom>
      <diagonal/>
    </border>
    <border>
      <left/>
      <right style="medium">
        <color rgb="FF808080"/>
      </right>
      <top style="medium">
        <color rgb="FF808080"/>
      </top>
      <bottom style="thin">
        <color rgb="FFFFFFFF"/>
      </bottom>
      <diagonal/>
    </border>
    <border>
      <left/>
      <right style="medium">
        <color rgb="FF000000"/>
      </right>
      <top style="medium">
        <color rgb="FF808080"/>
      </top>
      <bottom style="thin">
        <color rgb="FFFFFFFF"/>
      </bottom>
      <diagonal/>
    </border>
    <border>
      <left style="medium">
        <color rgb="FF808080"/>
      </left>
      <right/>
      <top style="thin">
        <color rgb="FFFFFFFF"/>
      </top>
      <bottom style="thin">
        <color rgb="FFFFFFFF"/>
      </bottom>
      <diagonal/>
    </border>
    <border>
      <left/>
      <right/>
      <top style="thin">
        <color rgb="FFFFFFFF"/>
      </top>
      <bottom style="thin">
        <color rgb="FFFFFFFF"/>
      </bottom>
      <diagonal/>
    </border>
    <border>
      <left/>
      <right style="thin">
        <color rgb="FFFFFFFF"/>
      </right>
      <top style="thin">
        <color rgb="FFFFFFFF"/>
      </top>
      <bottom style="thin">
        <color rgb="FFFFFFFF"/>
      </bottom>
      <diagonal/>
    </border>
    <border>
      <left/>
      <right style="thin">
        <color rgb="FFFFFFFF"/>
      </right>
      <top/>
      <bottom style="thin">
        <color rgb="FFFFFFFF"/>
      </bottom>
      <diagonal/>
    </border>
    <border>
      <left/>
      <right style="medium">
        <color rgb="FF808080"/>
      </right>
      <top/>
      <bottom style="thin">
        <color rgb="FFFFFFFF"/>
      </bottom>
      <diagonal/>
    </border>
    <border>
      <left style="medium">
        <color rgb="FF808080"/>
      </left>
      <right/>
      <top style="thin">
        <color rgb="FFFFFFFF"/>
      </top>
      <bottom/>
      <diagonal/>
    </border>
    <border>
      <left/>
      <right style="thin">
        <color rgb="FFFFFFFF"/>
      </right>
      <top style="thin">
        <color rgb="FFFFFFFF"/>
      </top>
      <bottom/>
      <diagonal/>
    </border>
    <border>
      <left/>
      <right style="medium">
        <color indexed="64"/>
      </right>
      <top/>
      <bottom style="thin">
        <color rgb="FFFFFFFF"/>
      </bottom>
      <diagonal/>
    </border>
    <border>
      <left style="medium">
        <color rgb="FF808080"/>
      </left>
      <right/>
      <top/>
      <bottom/>
      <diagonal/>
    </border>
    <border>
      <left/>
      <right style="thin">
        <color rgb="FFFFFFFF"/>
      </right>
      <top/>
      <bottom/>
      <diagonal/>
    </border>
    <border>
      <left style="medium">
        <color rgb="FF808080"/>
      </left>
      <right/>
      <top style="thin">
        <color rgb="FFFFFFFF"/>
      </top>
      <bottom style="medium">
        <color rgb="FF808080"/>
      </bottom>
      <diagonal/>
    </border>
    <border>
      <left/>
      <right/>
      <top style="thin">
        <color rgb="FFFFFFFF"/>
      </top>
      <bottom style="medium">
        <color rgb="FF808080"/>
      </bottom>
      <diagonal/>
    </border>
    <border>
      <left/>
      <right style="thin">
        <color rgb="FFFFFFFF"/>
      </right>
      <top style="thin">
        <color rgb="FFFFFFFF"/>
      </top>
      <bottom style="medium">
        <color rgb="FF808080"/>
      </bottom>
      <diagonal/>
    </border>
    <border>
      <left/>
      <right style="thin">
        <color rgb="FFFFFFFF"/>
      </right>
      <top/>
      <bottom style="medium">
        <color rgb="FF808080"/>
      </bottom>
      <diagonal/>
    </border>
    <border>
      <left/>
      <right style="medium">
        <color rgb="FF808080"/>
      </right>
      <top/>
      <bottom style="medium">
        <color rgb="FF808080"/>
      </bottom>
      <diagonal/>
    </border>
    <border>
      <left style="medium">
        <color rgb="FF808080"/>
      </left>
      <right/>
      <top/>
      <bottom style="medium">
        <color rgb="FF808080"/>
      </bottom>
      <diagonal/>
    </border>
    <border>
      <left/>
      <right/>
      <top/>
      <bottom style="medium">
        <color rgb="FF808080"/>
      </bottom>
      <diagonal/>
    </border>
    <border>
      <left/>
      <right style="medium">
        <color indexed="64"/>
      </right>
      <top/>
      <bottom style="medium">
        <color rgb="FF808080"/>
      </bottom>
      <diagonal/>
    </border>
    <border>
      <left/>
      <right style="medium">
        <color rgb="FF000000"/>
      </right>
      <top style="medium">
        <color indexed="64"/>
      </top>
      <bottom/>
      <diagonal/>
    </border>
    <border>
      <left style="medium">
        <color indexed="64"/>
      </left>
      <right/>
      <top/>
      <bottom style="medium">
        <color rgb="FF000000"/>
      </bottom>
      <diagonal/>
    </border>
    <border>
      <left/>
      <right style="medium">
        <color rgb="FF000000"/>
      </right>
      <top/>
      <bottom style="medium">
        <color rgb="FF000000"/>
      </bottom>
      <diagonal/>
    </border>
    <border>
      <left/>
      <right/>
      <top/>
      <bottom style="medium">
        <color rgb="FF000000"/>
      </bottom>
      <diagonal/>
    </border>
    <border>
      <left/>
      <right style="medium">
        <color rgb="FF000000"/>
      </right>
      <top/>
      <bottom style="medium">
        <color indexed="64"/>
      </bottom>
      <diagonal/>
    </border>
    <border>
      <left style="medium">
        <color indexed="64"/>
      </left>
      <right style="medium">
        <color indexed="64"/>
      </right>
      <top style="medium">
        <color indexed="64"/>
      </top>
      <bottom style="medium">
        <color indexed="64"/>
      </bottom>
      <diagonal/>
    </border>
    <border>
      <left/>
      <right style="thin">
        <color rgb="FF000000"/>
      </right>
      <top style="thin">
        <color rgb="FF000000"/>
      </top>
      <bottom/>
      <diagonal/>
    </border>
    <border>
      <left style="thin">
        <color rgb="FF000000"/>
      </left>
      <right/>
      <top style="thin">
        <color auto="1"/>
      </top>
      <bottom/>
      <diagonal/>
    </border>
    <border>
      <left style="thin">
        <color rgb="FF000000"/>
      </left>
      <right/>
      <top/>
      <bottom style="thin">
        <color auto="1"/>
      </bottom>
      <diagonal/>
    </border>
    <border>
      <left/>
      <right style="thin">
        <color rgb="FF000000"/>
      </right>
      <top style="thin">
        <color auto="1"/>
      </top>
      <bottom/>
      <diagonal/>
    </border>
    <border>
      <left/>
      <right style="thin">
        <color rgb="FF000000"/>
      </right>
      <top/>
      <bottom style="thin">
        <color auto="1"/>
      </bottom>
      <diagonal/>
    </border>
    <border>
      <left style="thin">
        <color indexed="64"/>
      </left>
      <right style="thin">
        <color indexed="64"/>
      </right>
      <top style="thin">
        <color rgb="FF000000"/>
      </top>
      <bottom/>
      <diagonal/>
    </border>
    <border>
      <left style="thin">
        <color rgb="FF000000"/>
      </left>
      <right style="thin">
        <color indexed="64"/>
      </right>
      <top style="thin">
        <color rgb="FF000000"/>
      </top>
      <bottom/>
      <diagonal/>
    </border>
    <border>
      <left style="thin">
        <color rgb="FF000000"/>
      </left>
      <right style="thin">
        <color indexed="64"/>
      </right>
      <top/>
      <bottom style="thin">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bottom style="medium">
        <color rgb="FF000000"/>
      </bottom>
      <diagonal/>
    </border>
    <border>
      <left style="medium">
        <color rgb="FF000000"/>
      </left>
      <right/>
      <top/>
      <bottom style="medium">
        <color indexed="64"/>
      </bottom>
      <diagonal/>
    </border>
    <border>
      <left/>
      <right style="medium">
        <color rgb="FF000000"/>
      </right>
      <top style="medium">
        <color rgb="FF000000"/>
      </top>
      <bottom style="medium">
        <color indexed="64"/>
      </bottom>
      <diagonal/>
    </border>
    <border>
      <left/>
      <right/>
      <top style="medium">
        <color rgb="FF000000"/>
      </top>
      <bottom style="medium">
        <color indexed="64"/>
      </bottom>
      <diagonal/>
    </border>
    <border>
      <left/>
      <right style="medium">
        <color indexed="64"/>
      </right>
      <top style="medium">
        <color rgb="FF000000"/>
      </top>
      <bottom style="medium">
        <color rgb="FF000000"/>
      </bottom>
      <diagonal/>
    </border>
    <border>
      <left/>
      <right style="medium">
        <color indexed="64"/>
      </right>
      <top/>
      <bottom style="medium">
        <color rgb="FF000000"/>
      </bottom>
      <diagonal/>
    </border>
    <border>
      <left style="thin">
        <color auto="1"/>
      </left>
      <right style="thin">
        <color rgb="FF000000"/>
      </right>
      <top style="thin">
        <color rgb="FF000000"/>
      </top>
      <bottom/>
      <diagonal/>
    </border>
    <border>
      <left style="thin">
        <color auto="1"/>
      </left>
      <right style="thin">
        <color rgb="FF000000"/>
      </right>
      <top/>
      <bottom style="thin">
        <color rgb="FF000000"/>
      </bottom>
      <diagonal/>
    </border>
  </borders>
  <cellStyleXfs count="9">
    <xf numFmtId="0" fontId="0" fillId="0" borderId="0"/>
    <xf numFmtId="43" fontId="1" fillId="0" borderId="0" applyFont="0" applyFill="0" applyBorder="0" applyAlignment="0" applyProtection="0"/>
    <xf numFmtId="9" fontId="1" fillId="0" borderId="0" applyFont="0" applyFill="0" applyBorder="0" applyAlignment="0" applyProtection="0"/>
    <xf numFmtId="0" fontId="2" fillId="0" borderId="0"/>
    <xf numFmtId="43" fontId="1" fillId="0" borderId="0" applyFont="0" applyFill="0" applyBorder="0" applyAlignment="0" applyProtection="0"/>
    <xf numFmtId="0" fontId="16" fillId="0" borderId="0"/>
    <xf numFmtId="0" fontId="22" fillId="0" borderId="0" applyNumberFormat="0" applyFill="0" applyBorder="0" applyAlignment="0" applyProtection="0"/>
    <xf numFmtId="0" fontId="22" fillId="0" borderId="0" applyNumberFormat="0" applyFill="0" applyBorder="0" applyAlignment="0" applyProtection="0"/>
    <xf numFmtId="168" fontId="1" fillId="0" borderId="0" applyFont="0" applyFill="0" applyBorder="0" applyAlignment="0" applyProtection="0"/>
  </cellStyleXfs>
  <cellXfs count="1005">
    <xf numFmtId="0" fontId="0" fillId="0" borderId="0" xfId="0"/>
    <xf numFmtId="0" fontId="3" fillId="0" borderId="0" xfId="0" applyFont="1"/>
    <xf numFmtId="0" fontId="3" fillId="0" borderId="0" xfId="0" applyFont="1" applyAlignment="1">
      <alignment horizontal="center"/>
    </xf>
    <xf numFmtId="3" fontId="3" fillId="0" borderId="0" xfId="0" applyNumberFormat="1" applyFont="1"/>
    <xf numFmtId="0" fontId="4" fillId="0" borderId="0" xfId="0" applyFont="1"/>
    <xf numFmtId="3" fontId="4" fillId="0" borderId="0" xfId="0" applyNumberFormat="1" applyFont="1"/>
    <xf numFmtId="164" fontId="3" fillId="0" borderId="0" xfId="2" applyNumberFormat="1" applyFont="1"/>
    <xf numFmtId="0" fontId="3" fillId="0" borderId="0" xfId="0" applyFont="1" applyAlignment="1">
      <alignment horizontal="left" vertical="center" wrapText="1"/>
    </xf>
    <xf numFmtId="0" fontId="3" fillId="0" borderId="0" xfId="0" applyFont="1" applyAlignment="1">
      <alignment wrapText="1"/>
    </xf>
    <xf numFmtId="3" fontId="3" fillId="0" borderId="0" xfId="0" applyNumberFormat="1" applyFont="1" applyAlignment="1">
      <alignment wrapText="1"/>
    </xf>
    <xf numFmtId="10" fontId="3" fillId="0" borderId="0" xfId="2" applyNumberFormat="1" applyFont="1"/>
    <xf numFmtId="3" fontId="4" fillId="0" borderId="0" xfId="2" applyNumberFormat="1" applyFont="1"/>
    <xf numFmtId="0" fontId="4" fillId="2" borderId="1" xfId="0" applyFont="1" applyFill="1" applyBorder="1" applyAlignment="1">
      <alignment horizontal="center" vertical="center"/>
    </xf>
    <xf numFmtId="0" fontId="4" fillId="2" borderId="0" xfId="0" applyFont="1" applyFill="1" applyAlignment="1">
      <alignment horizontal="center" vertical="center"/>
    </xf>
    <xf numFmtId="0" fontId="4" fillId="4" borderId="0" xfId="0" applyFont="1" applyFill="1" applyAlignment="1">
      <alignment horizontal="center" vertical="center" wrapText="1"/>
    </xf>
    <xf numFmtId="0" fontId="4" fillId="0" borderId="4" xfId="0" applyFont="1" applyBorder="1" applyAlignment="1">
      <alignment horizontal="center" vertical="center" wrapText="1"/>
    </xf>
    <xf numFmtId="0" fontId="4" fillId="0" borderId="0" xfId="0" applyFont="1" applyAlignment="1">
      <alignment horizontal="center" vertical="center" wrapText="1"/>
    </xf>
    <xf numFmtId="0" fontId="4" fillId="0" borderId="0" xfId="0" applyFont="1" applyAlignment="1">
      <alignment horizontal="center" wrapText="1"/>
    </xf>
    <xf numFmtId="3" fontId="4" fillId="6" borderId="2" xfId="0" applyNumberFormat="1" applyFont="1" applyFill="1" applyBorder="1" applyAlignment="1">
      <alignment horizontal="center" vertical="center" wrapText="1"/>
    </xf>
    <xf numFmtId="0" fontId="4" fillId="7" borderId="2" xfId="0" applyFont="1" applyFill="1" applyBorder="1" applyAlignment="1">
      <alignment horizontal="center" vertical="center" wrapText="1"/>
    </xf>
    <xf numFmtId="0" fontId="4" fillId="4" borderId="3" xfId="0" applyFont="1" applyFill="1" applyBorder="1" applyAlignment="1">
      <alignment horizontal="center" vertical="center" wrapText="1"/>
    </xf>
    <xf numFmtId="0" fontId="4" fillId="7" borderId="13" xfId="0" applyFont="1" applyFill="1" applyBorder="1" applyAlignment="1">
      <alignment horizontal="center" vertical="center" wrapText="1"/>
    </xf>
    <xf numFmtId="0" fontId="4" fillId="4" borderId="14" xfId="0" applyFont="1" applyFill="1" applyBorder="1" applyAlignment="1">
      <alignment horizontal="center" vertical="center" wrapText="1"/>
    </xf>
    <xf numFmtId="0" fontId="4" fillId="0" borderId="12" xfId="0" applyFont="1" applyBorder="1" applyAlignment="1">
      <alignment horizontal="center" vertical="center" wrapText="1"/>
    </xf>
    <xf numFmtId="0" fontId="4" fillId="0" borderId="0" xfId="0" applyFont="1" applyAlignment="1">
      <alignment horizontal="center" vertical="center"/>
    </xf>
    <xf numFmtId="3" fontId="4" fillId="0" borderId="2" xfId="0" applyNumberFormat="1" applyFont="1" applyBorder="1" applyAlignment="1">
      <alignment horizontal="center" vertical="center" wrapText="1"/>
    </xf>
    <xf numFmtId="10" fontId="4" fillId="0" borderId="2" xfId="0" applyNumberFormat="1" applyFont="1" applyBorder="1" applyAlignment="1">
      <alignment horizontal="center" vertical="center" wrapText="1"/>
    </xf>
    <xf numFmtId="10" fontId="3" fillId="8" borderId="2" xfId="0" applyNumberFormat="1" applyFont="1" applyFill="1" applyBorder="1" applyAlignment="1">
      <alignment horizontal="center"/>
    </xf>
    <xf numFmtId="10" fontId="3" fillId="0" borderId="18" xfId="0" applyNumberFormat="1" applyFont="1" applyBorder="1"/>
    <xf numFmtId="10" fontId="3" fillId="0" borderId="19" xfId="0" applyNumberFormat="1" applyFont="1" applyBorder="1"/>
    <xf numFmtId="165" fontId="3" fillId="0" borderId="19" xfId="0" applyNumberFormat="1" applyFont="1" applyBorder="1"/>
    <xf numFmtId="10" fontId="3" fillId="4" borderId="20" xfId="0" applyNumberFormat="1" applyFont="1" applyFill="1" applyBorder="1"/>
    <xf numFmtId="10" fontId="4" fillId="0" borderId="0" xfId="2" applyNumberFormat="1" applyFont="1"/>
    <xf numFmtId="0" fontId="4" fillId="0" borderId="21" xfId="0" applyFont="1" applyBorder="1" applyAlignment="1">
      <alignment horizontal="center"/>
    </xf>
    <xf numFmtId="0" fontId="3" fillId="0" borderId="22" xfId="0" applyFont="1" applyBorder="1" applyAlignment="1">
      <alignment horizontal="center"/>
    </xf>
    <xf numFmtId="0" fontId="3" fillId="0" borderId="16" xfId="0" applyFont="1" applyBorder="1"/>
    <xf numFmtId="0" fontId="4" fillId="9" borderId="24" xfId="0" applyFont="1" applyFill="1" applyBorder="1"/>
    <xf numFmtId="0" fontId="4" fillId="9" borderId="24" xfId="0" applyFont="1" applyFill="1" applyBorder="1" applyAlignment="1">
      <alignment horizontal="center" vertical="center"/>
    </xf>
    <xf numFmtId="0" fontId="4" fillId="9" borderId="24" xfId="0" applyFont="1" applyFill="1" applyBorder="1" applyAlignment="1">
      <alignment horizontal="center" wrapText="1"/>
    </xf>
    <xf numFmtId="0" fontId="4" fillId="9" borderId="24" xfId="0" applyFont="1" applyFill="1" applyBorder="1" applyAlignment="1">
      <alignment horizontal="center" vertical="center" wrapText="1"/>
    </xf>
    <xf numFmtId="3" fontId="4" fillId="9" borderId="25" xfId="0" applyNumberFormat="1" applyFont="1" applyFill="1" applyBorder="1" applyAlignment="1">
      <alignment horizontal="center" vertical="center" wrapText="1"/>
    </xf>
    <xf numFmtId="10" fontId="4" fillId="9" borderId="25" xfId="0" applyNumberFormat="1" applyFont="1" applyFill="1" applyBorder="1" applyAlignment="1">
      <alignment horizontal="center" vertical="center" wrapText="1"/>
    </xf>
    <xf numFmtId="165" fontId="4" fillId="9" borderId="25" xfId="0" applyNumberFormat="1" applyFont="1" applyFill="1" applyBorder="1" applyAlignment="1">
      <alignment horizontal="center"/>
    </xf>
    <xf numFmtId="165" fontId="3" fillId="9" borderId="0" xfId="0" applyNumberFormat="1" applyFont="1" applyFill="1"/>
    <xf numFmtId="10" fontId="3" fillId="4" borderId="26" xfId="0" applyNumberFormat="1" applyFont="1" applyFill="1" applyBorder="1"/>
    <xf numFmtId="9" fontId="4" fillId="9" borderId="24" xfId="0" applyNumberFormat="1" applyFont="1" applyFill="1" applyBorder="1" applyAlignment="1">
      <alignment horizontal="center"/>
    </xf>
    <xf numFmtId="0" fontId="4" fillId="9" borderId="0" xfId="0" applyFont="1" applyFill="1" applyAlignment="1">
      <alignment horizontal="center"/>
    </xf>
    <xf numFmtId="0" fontId="3" fillId="9" borderId="0" xfId="0" applyFont="1" applyFill="1" applyAlignment="1">
      <alignment horizontal="center"/>
    </xf>
    <xf numFmtId="0" fontId="4" fillId="9" borderId="0" xfId="0" applyFont="1" applyFill="1" applyAlignment="1">
      <alignment horizontal="center" vertical="center" wrapText="1"/>
    </xf>
    <xf numFmtId="0" fontId="4" fillId="9" borderId="15" xfId="0" applyFont="1" applyFill="1" applyBorder="1" applyAlignment="1">
      <alignment horizontal="center" vertical="center" wrapText="1"/>
    </xf>
    <xf numFmtId="0" fontId="4" fillId="5" borderId="0" xfId="0" applyFont="1" applyFill="1" applyAlignment="1">
      <alignment horizontal="center" vertical="center" textRotation="90"/>
    </xf>
    <xf numFmtId="0" fontId="3" fillId="0" borderId="27" xfId="0" applyFont="1" applyBorder="1" applyAlignment="1">
      <alignment vertical="center" wrapText="1"/>
    </xf>
    <xf numFmtId="3" fontId="3" fillId="0" borderId="0" xfId="0" applyNumberFormat="1" applyFont="1" applyAlignment="1">
      <alignment horizontal="center"/>
    </xf>
    <xf numFmtId="166" fontId="3" fillId="0" borderId="0" xfId="0" applyNumberFormat="1" applyFont="1"/>
    <xf numFmtId="166" fontId="4" fillId="4" borderId="0" xfId="0" applyNumberFormat="1" applyFont="1" applyFill="1"/>
    <xf numFmtId="166" fontId="4" fillId="0" borderId="0" xfId="0" applyNumberFormat="1" applyFont="1"/>
    <xf numFmtId="3" fontId="3" fillId="0" borderId="28" xfId="0" applyNumberFormat="1" applyFont="1" applyBorder="1"/>
    <xf numFmtId="9" fontId="3" fillId="0" borderId="15" xfId="2" applyFont="1" applyFill="1" applyBorder="1"/>
    <xf numFmtId="3" fontId="3" fillId="0" borderId="15" xfId="0" applyNumberFormat="1" applyFont="1" applyBorder="1"/>
    <xf numFmtId="0" fontId="3" fillId="0" borderId="29" xfId="0" applyFont="1" applyBorder="1"/>
    <xf numFmtId="0" fontId="5" fillId="10" borderId="28" xfId="0" applyFont="1" applyFill="1" applyBorder="1" applyAlignment="1">
      <alignment wrapText="1"/>
    </xf>
    <xf numFmtId="0" fontId="3" fillId="0" borderId="0" xfId="0" applyFont="1" applyAlignment="1">
      <alignment horizontal="right"/>
    </xf>
    <xf numFmtId="0" fontId="4" fillId="4" borderId="0" xfId="0" applyFont="1" applyFill="1"/>
    <xf numFmtId="0" fontId="3" fillId="0" borderId="28" xfId="0" applyFont="1" applyBorder="1"/>
    <xf numFmtId="0" fontId="3" fillId="0" borderId="15" xfId="0" applyFont="1" applyBorder="1"/>
    <xf numFmtId="3" fontId="3" fillId="0" borderId="0" xfId="0" applyNumberFormat="1" applyFont="1" applyAlignment="1">
      <alignment horizontal="right"/>
    </xf>
    <xf numFmtId="1" fontId="3" fillId="0" borderId="0" xfId="0" applyNumberFormat="1" applyFont="1" applyAlignment="1">
      <alignment horizontal="right"/>
    </xf>
    <xf numFmtId="166" fontId="3" fillId="4" borderId="0" xfId="0" applyNumberFormat="1" applyFont="1" applyFill="1"/>
    <xf numFmtId="3" fontId="4" fillId="5" borderId="0" xfId="0" applyNumberFormat="1" applyFont="1" applyFill="1"/>
    <xf numFmtId="3" fontId="3" fillId="11" borderId="0" xfId="0" applyNumberFormat="1" applyFont="1" applyFill="1"/>
    <xf numFmtId="3" fontId="3" fillId="12" borderId="0" xfId="0" applyNumberFormat="1" applyFont="1" applyFill="1"/>
    <xf numFmtId="0" fontId="3" fillId="0" borderId="28" xfId="0" applyFont="1" applyBorder="1" applyAlignment="1">
      <alignment wrapText="1"/>
    </xf>
    <xf numFmtId="9" fontId="3" fillId="0" borderId="15" xfId="2" applyFont="1" applyBorder="1"/>
    <xf numFmtId="3" fontId="3" fillId="6" borderId="0" xfId="0" applyNumberFormat="1" applyFont="1" applyFill="1"/>
    <xf numFmtId="0" fontId="3" fillId="6" borderId="0" xfId="0" applyFont="1" applyFill="1"/>
    <xf numFmtId="0" fontId="3" fillId="0" borderId="23" xfId="0" applyFont="1" applyBorder="1" applyAlignment="1">
      <alignment vertical="center" wrapText="1"/>
    </xf>
    <xf numFmtId="0" fontId="4" fillId="3" borderId="30" xfId="0" applyFont="1" applyFill="1" applyBorder="1" applyAlignment="1">
      <alignment horizontal="left" vertical="center" wrapText="1"/>
    </xf>
    <xf numFmtId="0" fontId="4" fillId="3" borderId="4" xfId="0" applyFont="1" applyFill="1" applyBorder="1"/>
    <xf numFmtId="0" fontId="4" fillId="3" borderId="4" xfId="0" applyFont="1" applyFill="1" applyBorder="1" applyAlignment="1">
      <alignment horizontal="center"/>
    </xf>
    <xf numFmtId="3" fontId="4" fillId="3" borderId="4" xfId="0" applyNumberFormat="1" applyFont="1" applyFill="1" applyBorder="1"/>
    <xf numFmtId="10" fontId="4" fillId="3" borderId="4" xfId="2" applyNumberFormat="1" applyFont="1" applyFill="1" applyBorder="1"/>
    <xf numFmtId="3" fontId="3" fillId="3" borderId="4" xfId="0" applyNumberFormat="1" applyFont="1" applyFill="1" applyBorder="1"/>
    <xf numFmtId="3" fontId="4" fillId="4" borderId="4" xfId="0" applyNumberFormat="1" applyFont="1" applyFill="1" applyBorder="1"/>
    <xf numFmtId="3" fontId="3" fillId="13" borderId="4" xfId="0" applyNumberFormat="1" applyFont="1" applyFill="1" applyBorder="1"/>
    <xf numFmtId="9" fontId="4" fillId="13" borderId="31" xfId="2" applyFont="1" applyFill="1" applyBorder="1"/>
    <xf numFmtId="3" fontId="4" fillId="3" borderId="31" xfId="0" applyNumberFormat="1" applyFont="1" applyFill="1" applyBorder="1"/>
    <xf numFmtId="167" fontId="3" fillId="6" borderId="0" xfId="1" applyNumberFormat="1" applyFont="1" applyFill="1"/>
    <xf numFmtId="0" fontId="3" fillId="0" borderId="27" xfId="0" applyFont="1" applyBorder="1" applyAlignment="1">
      <alignment horizontal="center" vertical="center" wrapText="1"/>
    </xf>
    <xf numFmtId="0" fontId="4" fillId="9" borderId="28" xfId="0" applyFont="1" applyFill="1" applyBorder="1"/>
    <xf numFmtId="0" fontId="4" fillId="9" borderId="0" xfId="0" applyFont="1" applyFill="1" applyAlignment="1">
      <alignment horizontal="center" vertical="center"/>
    </xf>
    <xf numFmtId="0" fontId="4" fillId="9" borderId="0" xfId="0" applyFont="1" applyFill="1" applyAlignment="1">
      <alignment horizontal="center" wrapText="1"/>
    </xf>
    <xf numFmtId="0" fontId="4" fillId="9" borderId="25" xfId="0" applyFont="1" applyFill="1" applyBorder="1" applyAlignment="1">
      <alignment horizontal="center" vertical="center" wrapText="1"/>
    </xf>
    <xf numFmtId="3" fontId="3" fillId="9" borderId="25" xfId="0" applyNumberFormat="1" applyFont="1" applyFill="1" applyBorder="1" applyAlignment="1">
      <alignment horizontal="center" vertical="center" wrapText="1"/>
    </xf>
    <xf numFmtId="10" fontId="3" fillId="9" borderId="25" xfId="0" applyNumberFormat="1" applyFont="1" applyFill="1" applyBorder="1" applyAlignment="1">
      <alignment horizontal="center" vertical="center" wrapText="1"/>
    </xf>
    <xf numFmtId="10" fontId="3" fillId="9" borderId="25" xfId="0" applyNumberFormat="1" applyFont="1" applyFill="1" applyBorder="1" applyAlignment="1">
      <alignment horizontal="center"/>
    </xf>
    <xf numFmtId="165" fontId="3" fillId="9" borderId="25" xfId="0" applyNumberFormat="1" applyFont="1" applyFill="1" applyBorder="1"/>
    <xf numFmtId="9" fontId="3" fillId="9" borderId="25" xfId="0" applyNumberFormat="1" applyFont="1" applyFill="1" applyBorder="1" applyAlignment="1">
      <alignment horizontal="center"/>
    </xf>
    <xf numFmtId="0" fontId="3" fillId="9" borderId="25" xfId="0" applyFont="1" applyFill="1" applyBorder="1" applyAlignment="1">
      <alignment horizontal="center"/>
    </xf>
    <xf numFmtId="0" fontId="3" fillId="9" borderId="26" xfId="0" applyFont="1" applyFill="1" applyBorder="1" applyAlignment="1">
      <alignment horizontal="center"/>
    </xf>
    <xf numFmtId="0" fontId="4" fillId="9" borderId="26" xfId="0" applyFont="1" applyFill="1" applyBorder="1" applyAlignment="1">
      <alignment horizontal="center" vertical="center" wrapText="1"/>
    </xf>
    <xf numFmtId="1" fontId="3" fillId="0" borderId="0" xfId="0" applyNumberFormat="1" applyFont="1"/>
    <xf numFmtId="3" fontId="4" fillId="3" borderId="4" xfId="0" applyNumberFormat="1" applyFont="1" applyFill="1" applyBorder="1" applyAlignment="1">
      <alignment horizontal="center"/>
    </xf>
    <xf numFmtId="3" fontId="4" fillId="3" borderId="0" xfId="0" applyNumberFormat="1" applyFont="1" applyFill="1"/>
    <xf numFmtId="3" fontId="3" fillId="3" borderId="0" xfId="0" applyNumberFormat="1" applyFont="1" applyFill="1"/>
    <xf numFmtId="3" fontId="4" fillId="4" borderId="15" xfId="0" applyNumberFormat="1" applyFont="1" applyFill="1" applyBorder="1"/>
    <xf numFmtId="3" fontId="3" fillId="13" borderId="28" xfId="0" applyNumberFormat="1" applyFont="1" applyFill="1" applyBorder="1"/>
    <xf numFmtId="9" fontId="4" fillId="13" borderId="15" xfId="2" applyFont="1" applyFill="1" applyBorder="1"/>
    <xf numFmtId="3" fontId="4" fillId="3" borderId="15" xfId="0" applyNumberFormat="1" applyFont="1" applyFill="1" applyBorder="1"/>
    <xf numFmtId="0" fontId="3" fillId="0" borderId="16" xfId="0" applyFont="1" applyBorder="1" applyAlignment="1">
      <alignment horizontal="center" vertical="center" wrapText="1"/>
    </xf>
    <xf numFmtId="0" fontId="4" fillId="9" borderId="32" xfId="0" applyFont="1" applyFill="1" applyBorder="1"/>
    <xf numFmtId="3" fontId="3" fillId="9" borderId="0" xfId="0" applyNumberFormat="1" applyFont="1" applyFill="1" applyAlignment="1">
      <alignment horizontal="center" vertical="center" wrapText="1"/>
    </xf>
    <xf numFmtId="10" fontId="3" fillId="9" borderId="0" xfId="0" applyNumberFormat="1" applyFont="1" applyFill="1" applyAlignment="1">
      <alignment horizontal="center" vertical="center" wrapText="1"/>
    </xf>
    <xf numFmtId="10" fontId="3" fillId="9" borderId="0" xfId="0" applyNumberFormat="1" applyFont="1" applyFill="1" applyAlignment="1">
      <alignment horizontal="center"/>
    </xf>
    <xf numFmtId="165" fontId="4" fillId="9" borderId="0" xfId="0" applyNumberFormat="1" applyFont="1" applyFill="1" applyAlignment="1">
      <alignment horizontal="center"/>
    </xf>
    <xf numFmtId="10" fontId="3" fillId="4" borderId="15" xfId="0" applyNumberFormat="1" applyFont="1" applyFill="1" applyBorder="1"/>
    <xf numFmtId="9" fontId="3" fillId="9" borderId="0" xfId="0" applyNumberFormat="1" applyFont="1" applyFill="1" applyAlignment="1">
      <alignment horizontal="center"/>
    </xf>
    <xf numFmtId="0" fontId="3" fillId="9" borderId="15" xfId="0" applyFont="1" applyFill="1" applyBorder="1" applyAlignment="1">
      <alignment horizontal="center"/>
    </xf>
    <xf numFmtId="3" fontId="4" fillId="3" borderId="33" xfId="0" applyNumberFormat="1" applyFont="1" applyFill="1" applyBorder="1"/>
    <xf numFmtId="3" fontId="3" fillId="3" borderId="33" xfId="0" applyNumberFormat="1" applyFont="1" applyFill="1" applyBorder="1"/>
    <xf numFmtId="3" fontId="4" fillId="4" borderId="34" xfId="0" applyNumberFormat="1" applyFont="1" applyFill="1" applyBorder="1"/>
    <xf numFmtId="3" fontId="3" fillId="13" borderId="35" xfId="0" applyNumberFormat="1" applyFont="1" applyFill="1" applyBorder="1"/>
    <xf numFmtId="9" fontId="4" fillId="13" borderId="34" xfId="2" applyFont="1" applyFill="1" applyBorder="1"/>
    <xf numFmtId="3" fontId="4" fillId="3" borderId="34" xfId="0" applyNumberFormat="1" applyFont="1" applyFill="1" applyBorder="1"/>
    <xf numFmtId="3" fontId="6" fillId="0" borderId="0" xfId="0" applyNumberFormat="1" applyFont="1"/>
    <xf numFmtId="0" fontId="6" fillId="0" borderId="0" xfId="0" applyFont="1"/>
    <xf numFmtId="0" fontId="5" fillId="10" borderId="0" xfId="0" applyFont="1" applyFill="1"/>
    <xf numFmtId="0" fontId="6" fillId="0" borderId="0" xfId="0" applyFont="1" applyAlignment="1">
      <alignment horizontal="center"/>
    </xf>
    <xf numFmtId="3" fontId="5" fillId="10" borderId="0" xfId="0" applyNumberFormat="1" applyFont="1" applyFill="1"/>
    <xf numFmtId="3" fontId="5" fillId="0" borderId="0" xfId="0" applyNumberFormat="1" applyFont="1"/>
    <xf numFmtId="9" fontId="4" fillId="0" borderId="0" xfId="2" applyFont="1"/>
    <xf numFmtId="9" fontId="4" fillId="0" borderId="0" xfId="2" applyFont="1" applyFill="1" applyBorder="1"/>
    <xf numFmtId="9" fontId="3" fillId="0" borderId="0" xfId="2" applyFont="1"/>
    <xf numFmtId="3" fontId="4" fillId="0" borderId="0" xfId="0" applyNumberFormat="1" applyFont="1" applyAlignment="1">
      <alignment vertical="center"/>
    </xf>
    <xf numFmtId="9" fontId="3" fillId="0" borderId="0" xfId="0" applyNumberFormat="1" applyFont="1"/>
    <xf numFmtId="0" fontId="5" fillId="10" borderId="0" xfId="0" applyFont="1" applyFill="1" applyAlignment="1">
      <alignment horizontal="center" vertical="center"/>
    </xf>
    <xf numFmtId="0" fontId="5" fillId="10" borderId="0" xfId="0" applyFont="1" applyFill="1" applyAlignment="1">
      <alignment horizontal="center" vertical="center" wrapText="1"/>
    </xf>
    <xf numFmtId="9" fontId="7" fillId="0" borderId="0" xfId="2" applyFont="1" applyFill="1"/>
    <xf numFmtId="0" fontId="5" fillId="0" borderId="0" xfId="0" applyFont="1"/>
    <xf numFmtId="0" fontId="3" fillId="0" borderId="2" xfId="0" applyFont="1" applyBorder="1" applyAlignment="1">
      <alignment vertical="center"/>
    </xf>
    <xf numFmtId="0" fontId="3" fillId="0" borderId="5" xfId="0" applyFont="1" applyBorder="1" applyAlignment="1">
      <alignment horizontal="center" vertical="center" wrapText="1"/>
    </xf>
    <xf numFmtId="3" fontId="3" fillId="14" borderId="2" xfId="0" applyNumberFormat="1" applyFont="1" applyFill="1" applyBorder="1" applyAlignment="1">
      <alignment vertical="center"/>
    </xf>
    <xf numFmtId="3" fontId="3" fillId="0" borderId="2" xfId="0" applyNumberFormat="1" applyFont="1" applyBorder="1" applyAlignment="1">
      <alignment vertical="center"/>
    </xf>
    <xf numFmtId="3" fontId="7" fillId="0" borderId="0" xfId="0" applyNumberFormat="1" applyFont="1"/>
    <xf numFmtId="0" fontId="5" fillId="10" borderId="24" xfId="0" applyFont="1" applyFill="1" applyBorder="1"/>
    <xf numFmtId="3" fontId="5" fillId="10" borderId="24" xfId="0" applyNumberFormat="1" applyFont="1" applyFill="1" applyBorder="1"/>
    <xf numFmtId="167" fontId="3" fillId="0" borderId="0" xfId="0" applyNumberFormat="1" applyFont="1"/>
    <xf numFmtId="0" fontId="4" fillId="13" borderId="0" xfId="0" applyFont="1" applyFill="1"/>
    <xf numFmtId="9" fontId="4" fillId="13" borderId="0" xfId="2" applyFont="1" applyFill="1" applyAlignment="1">
      <alignment horizontal="center"/>
    </xf>
    <xf numFmtId="0" fontId="8" fillId="0" borderId="0" xfId="0" applyFont="1" applyAlignment="1">
      <alignment horizontal="left"/>
    </xf>
    <xf numFmtId="0" fontId="9" fillId="15" borderId="2" xfId="0" applyFont="1" applyFill="1" applyBorder="1"/>
    <xf numFmtId="3" fontId="4" fillId="15" borderId="2" xfId="0" applyNumberFormat="1" applyFont="1" applyFill="1" applyBorder="1"/>
    <xf numFmtId="3" fontId="4" fillId="15" borderId="2" xfId="0" applyNumberFormat="1" applyFont="1" applyFill="1" applyBorder="1" applyAlignment="1">
      <alignment horizontal="center"/>
    </xf>
    <xf numFmtId="9" fontId="3" fillId="0" borderId="0" xfId="2" applyFont="1" applyFill="1"/>
    <xf numFmtId="0" fontId="3" fillId="0" borderId="2" xfId="0" applyFont="1" applyBorder="1" applyAlignment="1">
      <alignment vertical="center" wrapText="1"/>
    </xf>
    <xf numFmtId="166" fontId="3" fillId="0" borderId="2" xfId="2" applyNumberFormat="1" applyFont="1" applyBorder="1" applyAlignment="1">
      <alignment vertical="center"/>
    </xf>
    <xf numFmtId="166" fontId="3" fillId="0" borderId="2" xfId="0" applyNumberFormat="1" applyFont="1" applyBorder="1" applyAlignment="1">
      <alignment vertical="center"/>
    </xf>
    <xf numFmtId="0" fontId="4" fillId="15" borderId="2" xfId="0" applyFont="1" applyFill="1" applyBorder="1"/>
    <xf numFmtId="4" fontId="3" fillId="0" borderId="0" xfId="0" applyNumberFormat="1" applyFont="1"/>
    <xf numFmtId="3" fontId="10" fillId="10" borderId="13" xfId="0" applyNumberFormat="1" applyFont="1" applyFill="1" applyBorder="1" applyAlignment="1">
      <alignment horizontal="center" vertical="center" wrapText="1"/>
    </xf>
    <xf numFmtId="0" fontId="11" fillId="0" borderId="3" xfId="0" applyFont="1" applyBorder="1"/>
    <xf numFmtId="0" fontId="11" fillId="0" borderId="36" xfId="0" applyFont="1" applyBorder="1"/>
    <xf numFmtId="3" fontId="11" fillId="8" borderId="2" xfId="0" applyNumberFormat="1" applyFont="1" applyFill="1" applyBorder="1" applyAlignment="1">
      <alignment vertical="center"/>
    </xf>
    <xf numFmtId="3" fontId="12" fillId="0" borderId="2" xfId="0" applyNumberFormat="1" applyFont="1" applyBorder="1" applyAlignment="1">
      <alignment vertical="center"/>
    </xf>
    <xf numFmtId="3" fontId="13" fillId="0" borderId="36" xfId="3" applyNumberFormat="1" applyFont="1" applyBorder="1" applyAlignment="1">
      <alignment horizontal="left" vertical="center"/>
    </xf>
    <xf numFmtId="3" fontId="10" fillId="10" borderId="2" xfId="0" applyNumberFormat="1" applyFont="1" applyFill="1" applyBorder="1" applyAlignment="1">
      <alignment vertical="center"/>
    </xf>
    <xf numFmtId="3" fontId="15" fillId="0" borderId="2" xfId="0" applyNumberFormat="1" applyFont="1" applyBorder="1" applyAlignment="1">
      <alignment vertical="center"/>
    </xf>
    <xf numFmtId="0" fontId="11" fillId="0" borderId="5" xfId="0" applyFont="1" applyBorder="1"/>
    <xf numFmtId="3" fontId="17" fillId="8" borderId="2" xfId="5" applyNumberFormat="1" applyFont="1" applyFill="1" applyBorder="1" applyAlignment="1">
      <alignment horizontal="left" vertical="center"/>
    </xf>
    <xf numFmtId="3" fontId="11" fillId="8" borderId="2" xfId="2" applyNumberFormat="1" applyFont="1" applyFill="1" applyBorder="1" applyAlignment="1" applyProtection="1">
      <alignment horizontal="center" vertical="center"/>
    </xf>
    <xf numFmtId="3" fontId="13" fillId="0" borderId="2" xfId="3" applyNumberFormat="1" applyFont="1" applyBorder="1" applyAlignment="1">
      <alignment horizontal="left" vertical="center"/>
    </xf>
    <xf numFmtId="10" fontId="11" fillId="8" borderId="2" xfId="2" applyNumberFormat="1" applyFont="1" applyFill="1" applyBorder="1" applyAlignment="1" applyProtection="1">
      <alignment horizontal="right" vertical="center"/>
    </xf>
    <xf numFmtId="0" fontId="11" fillId="0" borderId="0" xfId="0" applyFont="1"/>
    <xf numFmtId="10" fontId="3" fillId="16" borderId="25" xfId="0" applyNumberFormat="1" applyFont="1" applyFill="1" applyBorder="1" applyAlignment="1">
      <alignment horizontal="center" vertical="center" wrapText="1"/>
    </xf>
    <xf numFmtId="0" fontId="4" fillId="16" borderId="25" xfId="0" applyFont="1" applyFill="1" applyBorder="1" applyAlignment="1">
      <alignment horizontal="center" vertical="center" wrapText="1"/>
    </xf>
    <xf numFmtId="0" fontId="4" fillId="16" borderId="0" xfId="0" applyFont="1" applyFill="1" applyAlignment="1">
      <alignment horizontal="center" vertical="center" wrapText="1"/>
    </xf>
    <xf numFmtId="166" fontId="4" fillId="8" borderId="0" xfId="0" applyNumberFormat="1" applyFont="1" applyFill="1"/>
    <xf numFmtId="0" fontId="4" fillId="8" borderId="0" xfId="0" applyFont="1" applyFill="1" applyAlignment="1">
      <alignment horizontal="center" vertical="center" wrapText="1"/>
    </xf>
    <xf numFmtId="10" fontId="3" fillId="16" borderId="2" xfId="0" applyNumberFormat="1" applyFont="1" applyFill="1" applyBorder="1" applyAlignment="1">
      <alignment horizontal="center"/>
    </xf>
    <xf numFmtId="0" fontId="4" fillId="16" borderId="14" xfId="0" applyFont="1" applyFill="1" applyBorder="1" applyAlignment="1">
      <alignment horizontal="center" vertical="center" wrapText="1"/>
    </xf>
    <xf numFmtId="10" fontId="3" fillId="0" borderId="0" xfId="0" applyNumberFormat="1" applyFont="1"/>
    <xf numFmtId="3" fontId="3" fillId="7" borderId="0" xfId="0" applyNumberFormat="1" applyFont="1" applyFill="1"/>
    <xf numFmtId="3" fontId="3" fillId="7" borderId="28" xfId="0" applyNumberFormat="1" applyFont="1" applyFill="1" applyBorder="1"/>
    <xf numFmtId="3" fontId="3" fillId="0" borderId="0" xfId="2" applyNumberFormat="1" applyFont="1"/>
    <xf numFmtId="3" fontId="3" fillId="17" borderId="0" xfId="0" applyNumberFormat="1" applyFont="1" applyFill="1"/>
    <xf numFmtId="3" fontId="3" fillId="0" borderId="2" xfId="0" applyNumberFormat="1" applyFont="1" applyBorder="1" applyAlignment="1">
      <alignment horizontal="right" vertical="center"/>
    </xf>
    <xf numFmtId="165" fontId="3" fillId="0" borderId="0" xfId="2" applyNumberFormat="1" applyFont="1"/>
    <xf numFmtId="0" fontId="19" fillId="15" borderId="2" xfId="0" applyFont="1" applyFill="1" applyBorder="1"/>
    <xf numFmtId="3" fontId="18" fillId="15" borderId="2" xfId="0" applyNumberFormat="1" applyFont="1" applyFill="1" applyBorder="1"/>
    <xf numFmtId="3" fontId="18" fillId="7" borderId="2" xfId="0" applyNumberFormat="1" applyFont="1" applyFill="1" applyBorder="1"/>
    <xf numFmtId="3" fontId="18" fillId="15" borderId="2" xfId="0" applyNumberFormat="1" applyFont="1" applyFill="1" applyBorder="1" applyAlignment="1">
      <alignment horizontal="center"/>
    </xf>
    <xf numFmtId="3" fontId="18" fillId="3" borderId="2" xfId="0" applyNumberFormat="1" applyFont="1" applyFill="1" applyBorder="1"/>
    <xf numFmtId="0" fontId="20" fillId="0" borderId="2" xfId="0" applyFont="1" applyBorder="1" applyAlignment="1">
      <alignment vertical="center" wrapText="1"/>
    </xf>
    <xf numFmtId="3" fontId="20" fillId="0" borderId="2" xfId="0" applyNumberFormat="1" applyFont="1" applyBorder="1" applyAlignment="1">
      <alignment vertical="center"/>
    </xf>
    <xf numFmtId="166" fontId="20" fillId="0" borderId="2" xfId="2" applyNumberFormat="1" applyFont="1" applyBorder="1" applyAlignment="1">
      <alignment vertical="center"/>
    </xf>
    <xf numFmtId="166" fontId="20" fillId="0" borderId="2" xfId="0" applyNumberFormat="1" applyFont="1" applyBorder="1" applyAlignment="1">
      <alignment vertical="center"/>
    </xf>
    <xf numFmtId="3" fontId="20" fillId="0" borderId="2" xfId="2" applyNumberFormat="1" applyFont="1" applyBorder="1" applyAlignment="1">
      <alignment vertical="center"/>
    </xf>
    <xf numFmtId="0" fontId="18" fillId="15" borderId="2" xfId="0" applyFont="1" applyFill="1" applyBorder="1"/>
    <xf numFmtId="3" fontId="20" fillId="0" borderId="0" xfId="0" applyNumberFormat="1" applyFont="1"/>
    <xf numFmtId="0" fontId="18" fillId="0" borderId="0" xfId="0" applyFont="1" applyAlignment="1">
      <alignment horizontal="left"/>
    </xf>
    <xf numFmtId="0" fontId="20" fillId="0" borderId="0" xfId="0" applyFont="1"/>
    <xf numFmtId="0" fontId="21" fillId="0" borderId="0" xfId="0" applyFont="1"/>
    <xf numFmtId="0" fontId="18" fillId="11" borderId="0" xfId="0" applyFont="1" applyFill="1"/>
    <xf numFmtId="3" fontId="20" fillId="0" borderId="2" xfId="0" applyNumberFormat="1" applyFont="1" applyBorder="1"/>
    <xf numFmtId="166" fontId="4" fillId="3" borderId="4" xfId="0" applyNumberFormat="1" applyFont="1" applyFill="1" applyBorder="1"/>
    <xf numFmtId="3" fontId="21" fillId="0" borderId="0" xfId="0" applyNumberFormat="1" applyFont="1"/>
    <xf numFmtId="0" fontId="4" fillId="0" borderId="36" xfId="0" applyFont="1" applyBorder="1" applyAlignment="1">
      <alignment horizontal="center" vertical="center" wrapText="1"/>
    </xf>
    <xf numFmtId="0" fontId="24" fillId="0" borderId="2" xfId="0" applyFont="1" applyBorder="1" applyAlignment="1">
      <alignment horizontal="center" vertical="center" wrapText="1"/>
    </xf>
    <xf numFmtId="0" fontId="24" fillId="0" borderId="0" xfId="0" applyFont="1" applyAlignment="1">
      <alignment horizontal="center" vertical="center"/>
    </xf>
    <xf numFmtId="0" fontId="24" fillId="0" borderId="2" xfId="0" applyFont="1" applyBorder="1" applyAlignment="1">
      <alignment horizontal="center" vertical="center"/>
    </xf>
    <xf numFmtId="0" fontId="23" fillId="15" borderId="2" xfId="0" applyFont="1" applyFill="1" applyBorder="1" applyAlignment="1">
      <alignment horizontal="center" vertical="center"/>
    </xf>
    <xf numFmtId="3" fontId="23" fillId="15" borderId="2" xfId="0" applyNumberFormat="1" applyFont="1" applyFill="1" applyBorder="1" applyAlignment="1">
      <alignment horizontal="center" vertical="center"/>
    </xf>
    <xf numFmtId="0" fontId="23" fillId="0" borderId="0" xfId="0" applyFont="1" applyAlignment="1">
      <alignment horizontal="center" vertical="center"/>
    </xf>
    <xf numFmtId="0" fontId="25" fillId="0" borderId="2" xfId="6" applyFont="1" applyBorder="1" applyAlignment="1">
      <alignment horizontal="center" vertical="center"/>
    </xf>
    <xf numFmtId="0" fontId="26" fillId="0" borderId="2" xfId="6" applyFont="1" applyBorder="1" applyAlignment="1">
      <alignment horizontal="center" vertical="center"/>
    </xf>
    <xf numFmtId="0" fontId="24" fillId="0" borderId="3" xfId="0" applyFont="1" applyBorder="1" applyAlignment="1">
      <alignment horizontal="center" vertical="center"/>
    </xf>
    <xf numFmtId="0" fontId="28" fillId="0" borderId="38" xfId="0" applyFont="1" applyBorder="1" applyAlignment="1">
      <alignment horizontal="center" vertical="center" wrapText="1"/>
    </xf>
    <xf numFmtId="0" fontId="24" fillId="0" borderId="37" xfId="0" applyFont="1" applyBorder="1" applyAlignment="1">
      <alignment horizontal="center" vertical="center" wrapText="1"/>
    </xf>
    <xf numFmtId="0" fontId="24" fillId="0" borderId="38" xfId="0" applyFont="1" applyBorder="1" applyAlignment="1">
      <alignment horizontal="center" vertical="center" wrapText="1"/>
    </xf>
    <xf numFmtId="0" fontId="24" fillId="0" borderId="45" xfId="0" applyFont="1" applyBorder="1" applyAlignment="1">
      <alignment horizontal="center" vertical="center" wrapText="1"/>
    </xf>
    <xf numFmtId="0" fontId="28" fillId="0" borderId="49" xfId="0" applyFont="1" applyBorder="1" applyAlignment="1">
      <alignment horizontal="center" vertical="center" wrapText="1"/>
    </xf>
    <xf numFmtId="0" fontId="28" fillId="0" borderId="51" xfId="0" applyFont="1" applyBorder="1" applyAlignment="1">
      <alignment horizontal="center" vertical="center" wrapText="1"/>
    </xf>
    <xf numFmtId="0" fontId="24" fillId="0" borderId="47" xfId="0" applyFont="1" applyBorder="1" applyAlignment="1">
      <alignment horizontal="center" vertical="center" wrapText="1"/>
    </xf>
    <xf numFmtId="0" fontId="24" fillId="0" borderId="40" xfId="0" applyFont="1" applyBorder="1" applyAlignment="1">
      <alignment horizontal="center" vertical="center" wrapText="1"/>
    </xf>
    <xf numFmtId="0" fontId="23" fillId="15" borderId="38" xfId="0" applyFont="1" applyFill="1" applyBorder="1" applyAlignment="1">
      <alignment horizontal="center" vertical="center"/>
    </xf>
    <xf numFmtId="0" fontId="24" fillId="8" borderId="40" xfId="0" applyFont="1" applyFill="1" applyBorder="1" applyAlignment="1">
      <alignment horizontal="center" vertical="center" wrapText="1"/>
    </xf>
    <xf numFmtId="0" fontId="24" fillId="8" borderId="3" xfId="0" applyFont="1" applyFill="1" applyBorder="1" applyAlignment="1">
      <alignment horizontal="center" vertical="center" wrapText="1"/>
    </xf>
    <xf numFmtId="0" fontId="24" fillId="0" borderId="36" xfId="0" applyFont="1" applyBorder="1" applyAlignment="1">
      <alignment horizontal="center" vertical="center" wrapText="1"/>
    </xf>
    <xf numFmtId="0" fontId="24" fillId="0" borderId="25" xfId="0" applyFont="1" applyBorder="1" applyAlignment="1">
      <alignment horizontal="center" vertical="center" wrapText="1"/>
    </xf>
    <xf numFmtId="0" fontId="23" fillId="15" borderId="3" xfId="0" applyFont="1" applyFill="1" applyBorder="1" applyAlignment="1">
      <alignment horizontal="center" vertical="center"/>
    </xf>
    <xf numFmtId="3" fontId="23" fillId="15" borderId="5" xfId="0" applyNumberFormat="1" applyFont="1" applyFill="1" applyBorder="1" applyAlignment="1">
      <alignment horizontal="center" vertical="center"/>
    </xf>
    <xf numFmtId="0" fontId="29" fillId="0" borderId="2" xfId="7" applyFont="1" applyBorder="1" applyAlignment="1">
      <alignment horizontal="center" vertical="center"/>
    </xf>
    <xf numFmtId="166" fontId="24" fillId="0" borderId="42" xfId="2" applyNumberFormat="1" applyFont="1" applyBorder="1" applyAlignment="1">
      <alignment horizontal="center" vertical="center"/>
    </xf>
    <xf numFmtId="0" fontId="31" fillId="15" borderId="38" xfId="0" applyFont="1" applyFill="1" applyBorder="1" applyAlignment="1">
      <alignment horizontal="center" vertical="center"/>
    </xf>
    <xf numFmtId="166" fontId="27" fillId="0" borderId="38" xfId="2" applyNumberFormat="1" applyFont="1" applyBorder="1" applyAlignment="1">
      <alignment horizontal="center" vertical="center"/>
    </xf>
    <xf numFmtId="166" fontId="24" fillId="0" borderId="38" xfId="2" applyNumberFormat="1" applyFont="1" applyBorder="1" applyAlignment="1">
      <alignment horizontal="center" vertical="center"/>
    </xf>
    <xf numFmtId="0" fontId="24" fillId="8" borderId="14" xfId="0" applyFont="1" applyFill="1" applyBorder="1" applyAlignment="1">
      <alignment horizontal="center" vertical="center" wrapText="1"/>
    </xf>
    <xf numFmtId="166" fontId="24" fillId="0" borderId="5" xfId="0" applyNumberFormat="1" applyFont="1" applyBorder="1" applyAlignment="1">
      <alignment horizontal="center" vertical="center"/>
    </xf>
    <xf numFmtId="0" fontId="28" fillId="0" borderId="57" xfId="0" applyFont="1" applyBorder="1" applyAlignment="1">
      <alignment horizontal="center" vertical="center" wrapText="1"/>
    </xf>
    <xf numFmtId="0" fontId="23" fillId="15" borderId="2" xfId="0" applyFont="1" applyFill="1" applyBorder="1" applyAlignment="1">
      <alignment vertical="center"/>
    </xf>
    <xf numFmtId="0" fontId="24" fillId="0" borderId="0" xfId="0" applyFont="1" applyAlignment="1">
      <alignment vertical="center"/>
    </xf>
    <xf numFmtId="3" fontId="24" fillId="18" borderId="38" xfId="0" applyNumberFormat="1" applyFont="1" applyFill="1" applyBorder="1" applyAlignment="1">
      <alignment horizontal="center" vertical="center"/>
    </xf>
    <xf numFmtId="3" fontId="24" fillId="18" borderId="2" xfId="0" applyNumberFormat="1" applyFont="1" applyFill="1" applyBorder="1" applyAlignment="1">
      <alignment horizontal="center" vertical="center"/>
    </xf>
    <xf numFmtId="0" fontId="24" fillId="19" borderId="37" xfId="0" applyFont="1" applyFill="1" applyBorder="1" applyAlignment="1">
      <alignment vertical="center" wrapText="1"/>
    </xf>
    <xf numFmtId="0" fontId="24" fillId="19" borderId="38" xfId="0" applyFont="1" applyFill="1" applyBorder="1" applyAlignment="1">
      <alignment vertical="center" wrapText="1"/>
    </xf>
    <xf numFmtId="0" fontId="24" fillId="19" borderId="2" xfId="0" applyFont="1" applyFill="1" applyBorder="1" applyAlignment="1">
      <alignment vertical="center" wrapText="1"/>
    </xf>
    <xf numFmtId="0" fontId="24" fillId="19" borderId="3" xfId="0" applyFont="1" applyFill="1" applyBorder="1" applyAlignment="1">
      <alignment vertical="center" wrapText="1"/>
    </xf>
    <xf numFmtId="0" fontId="27" fillId="20" borderId="43" xfId="0" applyFont="1" applyFill="1" applyBorder="1" applyAlignment="1">
      <alignment vertical="center" wrapText="1"/>
    </xf>
    <xf numFmtId="0" fontId="27" fillId="20" borderId="45" xfId="0" applyFont="1" applyFill="1" applyBorder="1" applyAlignment="1">
      <alignment vertical="center" wrapText="1"/>
    </xf>
    <xf numFmtId="0" fontId="27" fillId="20" borderId="38" xfId="0" applyFont="1" applyFill="1" applyBorder="1" applyAlignment="1">
      <alignment horizontal="center" vertical="center" wrapText="1"/>
    </xf>
    <xf numFmtId="0" fontId="24" fillId="20" borderId="2" xfId="0" applyFont="1" applyFill="1" applyBorder="1" applyAlignment="1">
      <alignment horizontal="center" vertical="center" wrapText="1"/>
    </xf>
    <xf numFmtId="0" fontId="32" fillId="15" borderId="13" xfId="0" applyFont="1" applyFill="1" applyBorder="1" applyAlignment="1">
      <alignment horizontal="center" vertical="center"/>
    </xf>
    <xf numFmtId="3" fontId="33" fillId="18" borderId="13" xfId="0" applyNumberFormat="1" applyFont="1" applyFill="1" applyBorder="1" applyAlignment="1">
      <alignment horizontal="center" vertical="center"/>
    </xf>
    <xf numFmtId="0" fontId="32" fillId="19" borderId="13" xfId="0" applyFont="1" applyFill="1" applyBorder="1" applyAlignment="1">
      <alignment horizontal="center" vertical="center"/>
    </xf>
    <xf numFmtId="0" fontId="34" fillId="20" borderId="13" xfId="0" applyFont="1" applyFill="1" applyBorder="1" applyAlignment="1">
      <alignment horizontal="center" vertical="center" wrapText="1"/>
    </xf>
    <xf numFmtId="0" fontId="32" fillId="15" borderId="13" xfId="0" applyFont="1" applyFill="1" applyBorder="1" applyAlignment="1">
      <alignment horizontal="center" vertical="center" wrapText="1"/>
    </xf>
    <xf numFmtId="0" fontId="23" fillId="15" borderId="0" xfId="0" applyFont="1" applyFill="1" applyAlignment="1">
      <alignment horizontal="center" vertical="center"/>
    </xf>
    <xf numFmtId="0" fontId="24" fillId="8" borderId="47" xfId="0" applyFont="1" applyFill="1" applyBorder="1" applyAlignment="1">
      <alignment horizontal="center" vertical="center" wrapText="1"/>
    </xf>
    <xf numFmtId="166" fontId="24" fillId="0" borderId="41" xfId="0" applyNumberFormat="1" applyFont="1" applyBorder="1" applyAlignment="1">
      <alignment horizontal="center" vertical="center"/>
    </xf>
    <xf numFmtId="166" fontId="27" fillId="0" borderId="58" xfId="2" applyNumberFormat="1" applyFont="1" applyBorder="1" applyAlignment="1">
      <alignment horizontal="center" vertical="center"/>
    </xf>
    <xf numFmtId="0" fontId="24" fillId="8" borderId="2" xfId="0" applyFont="1" applyFill="1" applyBorder="1" applyAlignment="1">
      <alignment horizontal="center" vertical="center" wrapText="1"/>
    </xf>
    <xf numFmtId="169" fontId="24" fillId="8" borderId="2" xfId="0" applyNumberFormat="1" applyFont="1" applyFill="1" applyBorder="1" applyAlignment="1">
      <alignment horizontal="center" vertical="center" wrapText="1"/>
    </xf>
    <xf numFmtId="169" fontId="28" fillId="0" borderId="2" xfId="0" applyNumberFormat="1" applyFont="1" applyBorder="1" applyAlignment="1">
      <alignment horizontal="center" vertical="center" wrapText="1"/>
    </xf>
    <xf numFmtId="0" fontId="28" fillId="0" borderId="2" xfId="0" applyFont="1" applyBorder="1" applyAlignment="1">
      <alignment horizontal="center" vertical="center" wrapText="1"/>
    </xf>
    <xf numFmtId="169" fontId="24" fillId="0" borderId="2" xfId="0" applyNumberFormat="1" applyFont="1" applyBorder="1" applyAlignment="1">
      <alignment horizontal="center" vertical="center" wrapText="1"/>
    </xf>
    <xf numFmtId="14" fontId="35" fillId="21" borderId="38" xfId="0" applyNumberFormat="1" applyFont="1" applyFill="1" applyBorder="1" applyAlignment="1">
      <alignment horizontal="center" vertical="center" wrapText="1"/>
    </xf>
    <xf numFmtId="0" fontId="28" fillId="0" borderId="0" xfId="0" applyFont="1"/>
    <xf numFmtId="0" fontId="28" fillId="0" borderId="38" xfId="0" applyFont="1" applyBorder="1"/>
    <xf numFmtId="170" fontId="28" fillId="0" borderId="38" xfId="0" applyNumberFormat="1" applyFont="1" applyBorder="1"/>
    <xf numFmtId="0" fontId="28" fillId="0" borderId="47" xfId="0" applyFont="1" applyBorder="1" applyAlignment="1">
      <alignment horizontal="center" vertical="center" wrapText="1"/>
    </xf>
    <xf numFmtId="0" fontId="28" fillId="8" borderId="38" xfId="0" applyFont="1" applyFill="1" applyBorder="1" applyAlignment="1">
      <alignment horizontal="center" vertical="center" wrapText="1"/>
    </xf>
    <xf numFmtId="0" fontId="28" fillId="8" borderId="38" xfId="0" applyFont="1" applyFill="1" applyBorder="1" applyAlignment="1">
      <alignment vertical="center" wrapText="1"/>
    </xf>
    <xf numFmtId="0" fontId="28" fillId="0" borderId="0" xfId="0" applyFont="1" applyAlignment="1">
      <alignment horizontal="center"/>
    </xf>
    <xf numFmtId="0" fontId="28" fillId="0" borderId="45" xfId="0" applyFont="1" applyBorder="1" applyAlignment="1">
      <alignment horizontal="center" vertical="center" wrapText="1"/>
    </xf>
    <xf numFmtId="0" fontId="28" fillId="0" borderId="47" xfId="0" applyFont="1" applyBorder="1" applyAlignment="1">
      <alignment horizontal="left" vertical="center" wrapText="1"/>
    </xf>
    <xf numFmtId="0" fontId="28" fillId="0" borderId="38" xfId="0" applyFont="1" applyBorder="1" applyAlignment="1">
      <alignment wrapText="1"/>
    </xf>
    <xf numFmtId="0" fontId="28" fillId="0" borderId="0" xfId="0" applyFont="1" applyAlignment="1">
      <alignment wrapText="1"/>
    </xf>
    <xf numFmtId="0" fontId="28" fillId="0" borderId="3" xfId="0" applyFont="1" applyBorder="1" applyAlignment="1">
      <alignment horizontal="center" vertical="center" wrapText="1"/>
    </xf>
    <xf numFmtId="0" fontId="28" fillId="0" borderId="45" xfId="0" applyFont="1" applyBorder="1"/>
    <xf numFmtId="0" fontId="28" fillId="8" borderId="38" xfId="0" applyFont="1" applyFill="1" applyBorder="1" applyAlignment="1">
      <alignment horizontal="left" vertical="center" wrapText="1"/>
    </xf>
    <xf numFmtId="0" fontId="28" fillId="8" borderId="45" xfId="0" applyFont="1" applyFill="1" applyBorder="1" applyAlignment="1">
      <alignment vertical="center" wrapText="1"/>
    </xf>
    <xf numFmtId="0" fontId="27" fillId="23" borderId="38" xfId="0" applyFont="1" applyFill="1" applyBorder="1" applyAlignment="1">
      <alignment horizontal="center" vertical="center" wrapText="1"/>
    </xf>
    <xf numFmtId="0" fontId="40" fillId="0" borderId="0" xfId="0" applyFont="1"/>
    <xf numFmtId="0" fontId="41" fillId="0" borderId="0" xfId="0" applyFont="1"/>
    <xf numFmtId="0" fontId="42" fillId="0" borderId="34" xfId="0" applyFont="1" applyBorder="1"/>
    <xf numFmtId="0" fontId="32" fillId="0" borderId="23" xfId="0" applyFont="1" applyBorder="1" applyAlignment="1">
      <alignment wrapText="1"/>
    </xf>
    <xf numFmtId="0" fontId="32" fillId="0" borderId="27" xfId="0" applyFont="1" applyBorder="1" applyAlignment="1">
      <alignment wrapText="1"/>
    </xf>
    <xf numFmtId="0" fontId="42" fillId="0" borderId="23" xfId="0" applyFont="1" applyBorder="1" applyAlignment="1">
      <alignment wrapText="1"/>
    </xf>
    <xf numFmtId="0" fontId="41" fillId="0" borderId="0" xfId="0" applyFont="1" applyAlignment="1">
      <alignment wrapText="1"/>
    </xf>
    <xf numFmtId="0" fontId="43" fillId="0" borderId="0" xfId="0" applyFont="1"/>
    <xf numFmtId="0" fontId="44" fillId="25" borderId="37" xfId="0" applyFont="1" applyFill="1" applyBorder="1" applyAlignment="1">
      <alignment wrapText="1"/>
    </xf>
    <xf numFmtId="0" fontId="44" fillId="25" borderId="42" xfId="0" applyFont="1" applyFill="1" applyBorder="1" applyAlignment="1">
      <alignment wrapText="1"/>
    </xf>
    <xf numFmtId="0" fontId="46" fillId="24" borderId="42" xfId="0" applyFont="1" applyFill="1" applyBorder="1" applyAlignment="1">
      <alignment wrapText="1"/>
    </xf>
    <xf numFmtId="0" fontId="41" fillId="24" borderId="0" xfId="0" applyFont="1" applyFill="1"/>
    <xf numFmtId="0" fontId="45" fillId="24" borderId="37" xfId="0" applyFont="1" applyFill="1" applyBorder="1" applyAlignment="1">
      <alignment wrapText="1"/>
    </xf>
    <xf numFmtId="0" fontId="45" fillId="24" borderId="42" xfId="0" applyFont="1" applyFill="1" applyBorder="1" applyAlignment="1">
      <alignment wrapText="1"/>
    </xf>
    <xf numFmtId="0" fontId="41" fillId="24" borderId="0" xfId="0" applyFont="1" applyFill="1" applyAlignment="1">
      <alignment wrapText="1"/>
    </xf>
    <xf numFmtId="0" fontId="45" fillId="24" borderId="50" xfId="0" applyFont="1" applyFill="1" applyBorder="1" applyAlignment="1">
      <alignment wrapText="1"/>
    </xf>
    <xf numFmtId="0" fontId="46" fillId="24" borderId="64" xfId="0" applyFont="1" applyFill="1" applyBorder="1" applyAlignment="1">
      <alignment wrapText="1"/>
    </xf>
    <xf numFmtId="0" fontId="47" fillId="24" borderId="0" xfId="0" applyFont="1" applyFill="1" applyAlignment="1">
      <alignment wrapText="1"/>
    </xf>
    <xf numFmtId="0" fontId="46" fillId="24" borderId="41" xfId="0" applyFont="1" applyFill="1" applyBorder="1" applyAlignment="1">
      <alignment wrapText="1"/>
    </xf>
    <xf numFmtId="0" fontId="47" fillId="24" borderId="0" xfId="0" applyFont="1" applyFill="1"/>
    <xf numFmtId="0" fontId="46" fillId="24" borderId="58" xfId="0" applyFont="1" applyFill="1" applyBorder="1" applyAlignment="1">
      <alignment wrapText="1"/>
    </xf>
    <xf numFmtId="0" fontId="41" fillId="24" borderId="45" xfId="0" applyFont="1" applyFill="1" applyBorder="1" applyAlignment="1">
      <alignment wrapText="1"/>
    </xf>
    <xf numFmtId="0" fontId="41" fillId="24" borderId="64" xfId="0" applyFont="1" applyFill="1" applyBorder="1" applyAlignment="1">
      <alignment wrapText="1"/>
    </xf>
    <xf numFmtId="0" fontId="47" fillId="24" borderId="45" xfId="0" applyFont="1" applyFill="1" applyBorder="1" applyAlignment="1">
      <alignment wrapText="1"/>
    </xf>
    <xf numFmtId="0" fontId="47" fillId="24" borderId="64" xfId="0" applyFont="1" applyFill="1" applyBorder="1" applyAlignment="1">
      <alignment wrapText="1"/>
    </xf>
    <xf numFmtId="0" fontId="41" fillId="24" borderId="67" xfId="0" applyFont="1" applyFill="1" applyBorder="1"/>
    <xf numFmtId="0" fontId="41" fillId="24" borderId="32" xfId="0" applyFont="1" applyFill="1" applyBorder="1"/>
    <xf numFmtId="0" fontId="41" fillId="24" borderId="28" xfId="0" applyFont="1" applyFill="1" applyBorder="1"/>
    <xf numFmtId="0" fontId="38" fillId="24" borderId="0" xfId="0" applyFont="1" applyFill="1"/>
    <xf numFmtId="0" fontId="41" fillId="24" borderId="15" xfId="0" applyFont="1" applyFill="1" applyBorder="1"/>
    <xf numFmtId="0" fontId="50" fillId="24" borderId="80" xfId="0" applyFont="1" applyFill="1" applyBorder="1"/>
    <xf numFmtId="0" fontId="50" fillId="24" borderId="81" xfId="0" applyFont="1" applyFill="1" applyBorder="1"/>
    <xf numFmtId="0" fontId="39" fillId="24" borderId="80" xfId="0" applyFont="1" applyFill="1" applyBorder="1"/>
    <xf numFmtId="0" fontId="39" fillId="24" borderId="84" xfId="0" applyFont="1" applyFill="1" applyBorder="1"/>
    <xf numFmtId="0" fontId="50" fillId="24" borderId="90" xfId="0" applyFont="1" applyFill="1" applyBorder="1"/>
    <xf numFmtId="0" fontId="50" fillId="24" borderId="91" xfId="0" applyFont="1" applyFill="1" applyBorder="1"/>
    <xf numFmtId="0" fontId="39" fillId="24" borderId="90" xfId="0" applyFont="1" applyFill="1" applyBorder="1"/>
    <xf numFmtId="0" fontId="39" fillId="24" borderId="94" xfId="0" applyFont="1" applyFill="1" applyBorder="1"/>
    <xf numFmtId="0" fontId="49" fillId="24" borderId="0" xfId="0" applyFont="1" applyFill="1"/>
    <xf numFmtId="0" fontId="38" fillId="26" borderId="10" xfId="0" applyFont="1" applyFill="1" applyBorder="1" applyAlignment="1">
      <alignment wrapText="1"/>
    </xf>
    <xf numFmtId="0" fontId="38" fillId="0" borderId="23" xfId="0" applyFont="1" applyBorder="1"/>
    <xf numFmtId="0" fontId="38" fillId="0" borderId="34" xfId="0" applyFont="1" applyBorder="1"/>
    <xf numFmtId="0" fontId="50" fillId="0" borderId="23" xfId="0" applyFont="1" applyBorder="1"/>
    <xf numFmtId="0" fontId="50" fillId="0" borderId="34" xfId="0" applyFont="1" applyBorder="1"/>
    <xf numFmtId="0" fontId="39" fillId="0" borderId="34" xfId="0" applyFont="1" applyBorder="1"/>
    <xf numFmtId="14" fontId="50" fillId="0" borderId="23" xfId="0" applyNumberFormat="1" applyFont="1" applyBorder="1"/>
    <xf numFmtId="0" fontId="50" fillId="24" borderId="34" xfId="0" applyFont="1" applyFill="1" applyBorder="1" applyAlignment="1">
      <alignment wrapText="1"/>
    </xf>
    <xf numFmtId="0" fontId="39" fillId="0" borderId="23" xfId="0" applyFont="1" applyBorder="1"/>
    <xf numFmtId="0" fontId="55" fillId="0" borderId="34" xfId="0" applyFont="1" applyBorder="1"/>
    <xf numFmtId="0" fontId="39" fillId="24" borderId="34" xfId="0" applyFont="1" applyFill="1" applyBorder="1" applyAlignment="1">
      <alignment wrapText="1"/>
    </xf>
    <xf numFmtId="0" fontId="48" fillId="26" borderId="34" xfId="0" applyFont="1" applyFill="1" applyBorder="1"/>
    <xf numFmtId="0" fontId="39" fillId="24" borderId="0" xfId="0" applyFont="1" applyFill="1"/>
    <xf numFmtId="0" fontId="38" fillId="26" borderId="100" xfId="0" applyFont="1" applyFill="1" applyBorder="1" applyAlignment="1">
      <alignment wrapText="1"/>
    </xf>
    <xf numFmtId="0" fontId="38" fillId="26" borderId="11" xfId="0" applyFont="1" applyFill="1" applyBorder="1" applyAlignment="1">
      <alignment wrapText="1"/>
    </xf>
    <xf numFmtId="0" fontId="56" fillId="24" borderId="23" xfId="0" applyFont="1" applyFill="1" applyBorder="1" applyAlignment="1">
      <alignment wrapText="1"/>
    </xf>
    <xf numFmtId="0" fontId="57" fillId="24" borderId="34" xfId="0" applyFont="1" applyFill="1" applyBorder="1" applyAlignment="1">
      <alignment wrapText="1"/>
    </xf>
    <xf numFmtId="0" fontId="56" fillId="24" borderId="27" xfId="0" applyFont="1" applyFill="1" applyBorder="1" applyAlignment="1">
      <alignment wrapText="1"/>
    </xf>
    <xf numFmtId="0" fontId="56" fillId="24" borderId="15" xfId="0" applyFont="1" applyFill="1" applyBorder="1" applyAlignment="1">
      <alignment wrapText="1"/>
    </xf>
    <xf numFmtId="0" fontId="56" fillId="24" borderId="34" xfId="0" applyFont="1" applyFill="1" applyBorder="1" applyAlignment="1">
      <alignment wrapText="1"/>
    </xf>
    <xf numFmtId="0" fontId="41" fillId="24" borderId="33" xfId="0" applyFont="1" applyFill="1" applyBorder="1"/>
    <xf numFmtId="0" fontId="38" fillId="26" borderId="23" xfId="0" applyFont="1" applyFill="1" applyBorder="1"/>
    <xf numFmtId="0" fontId="38" fillId="26" borderId="34" xfId="0" applyFont="1" applyFill="1" applyBorder="1"/>
    <xf numFmtId="0" fontId="38" fillId="24" borderId="33" xfId="0" applyFont="1" applyFill="1" applyBorder="1"/>
    <xf numFmtId="0" fontId="38" fillId="0" borderId="11" xfId="0" applyFont="1" applyBorder="1"/>
    <xf numFmtId="0" fontId="48" fillId="24" borderId="0" xfId="0" applyFont="1" applyFill="1"/>
    <xf numFmtId="0" fontId="50" fillId="24" borderId="0" xfId="0" applyFont="1" applyFill="1"/>
    <xf numFmtId="0" fontId="50" fillId="24" borderId="15" xfId="0" applyFont="1" applyFill="1" applyBorder="1"/>
    <xf numFmtId="0" fontId="41" fillId="24" borderId="35" xfId="0" applyFont="1" applyFill="1" applyBorder="1"/>
    <xf numFmtId="0" fontId="41" fillId="24" borderId="34" xfId="0" applyFont="1" applyFill="1" applyBorder="1"/>
    <xf numFmtId="0" fontId="58" fillId="27" borderId="2" xfId="0" applyFont="1" applyFill="1" applyBorder="1"/>
    <xf numFmtId="0" fontId="58" fillId="27" borderId="4" xfId="0" applyFont="1" applyFill="1" applyBorder="1"/>
    <xf numFmtId="0" fontId="58" fillId="27" borderId="5" xfId="0" applyFont="1" applyFill="1" applyBorder="1"/>
    <xf numFmtId="0" fontId="58" fillId="27" borderId="5" xfId="0" applyFont="1" applyFill="1" applyBorder="1" applyAlignment="1">
      <alignment wrapText="1"/>
    </xf>
    <xf numFmtId="0" fontId="59" fillId="0" borderId="5" xfId="0" applyFont="1" applyBorder="1"/>
    <xf numFmtId="0" fontId="60" fillId="28" borderId="37" xfId="0" applyFont="1" applyFill="1" applyBorder="1"/>
    <xf numFmtId="0" fontId="60" fillId="28" borderId="42" xfId="0" applyFont="1" applyFill="1" applyBorder="1" applyAlignment="1">
      <alignment wrapText="1"/>
    </xf>
    <xf numFmtId="0" fontId="60" fillId="28" borderId="4" xfId="0" applyFont="1" applyFill="1" applyBorder="1" applyAlignment="1">
      <alignment wrapText="1"/>
    </xf>
    <xf numFmtId="0" fontId="60" fillId="28" borderId="37" xfId="0" applyFont="1" applyFill="1" applyBorder="1" applyAlignment="1">
      <alignment wrapText="1"/>
    </xf>
    <xf numFmtId="0" fontId="60" fillId="28" borderId="42" xfId="0" applyFont="1" applyFill="1" applyBorder="1"/>
    <xf numFmtId="0" fontId="60" fillId="29" borderId="42" xfId="0" applyFont="1" applyFill="1" applyBorder="1" applyAlignment="1">
      <alignment wrapText="1"/>
    </xf>
    <xf numFmtId="0" fontId="60" fillId="30" borderId="42" xfId="0" applyFont="1" applyFill="1" applyBorder="1" applyAlignment="1">
      <alignment wrapText="1"/>
    </xf>
    <xf numFmtId="0" fontId="60" fillId="31" borderId="42" xfId="0" applyFont="1" applyFill="1" applyBorder="1"/>
    <xf numFmtId="0" fontId="59" fillId="0" borderId="0" xfId="0" applyFont="1"/>
    <xf numFmtId="0" fontId="61" fillId="24" borderId="37" xfId="0" applyFont="1" applyFill="1" applyBorder="1" applyAlignment="1">
      <alignment wrapText="1"/>
    </xf>
    <xf numFmtId="0" fontId="61" fillId="24" borderId="42" xfId="0" applyFont="1" applyFill="1" applyBorder="1" applyAlignment="1">
      <alignment wrapText="1"/>
    </xf>
    <xf numFmtId="0" fontId="61" fillId="24" borderId="42" xfId="0" applyFont="1" applyFill="1" applyBorder="1"/>
    <xf numFmtId="14" fontId="61" fillId="24" borderId="42" xfId="0" applyNumberFormat="1" applyFont="1" applyFill="1" applyBorder="1" applyAlignment="1">
      <alignment wrapText="1"/>
    </xf>
    <xf numFmtId="18" fontId="61" fillId="24" borderId="42" xfId="0" applyNumberFormat="1" applyFont="1" applyFill="1" applyBorder="1" applyAlignment="1">
      <alignment wrapText="1"/>
    </xf>
    <xf numFmtId="0" fontId="61" fillId="32" borderId="42" xfId="0" applyFont="1" applyFill="1" applyBorder="1"/>
    <xf numFmtId="0" fontId="42" fillId="24" borderId="42" xfId="0" applyFont="1" applyFill="1" applyBorder="1" applyAlignment="1">
      <alignment wrapText="1"/>
    </xf>
    <xf numFmtId="0" fontId="59" fillId="24" borderId="4" xfId="0" applyFont="1" applyFill="1" applyBorder="1"/>
    <xf numFmtId="0" fontId="61" fillId="24" borderId="37" xfId="0" applyFont="1" applyFill="1" applyBorder="1"/>
    <xf numFmtId="0" fontId="61" fillId="0" borderId="42" xfId="0" applyFont="1" applyBorder="1"/>
    <xf numFmtId="0" fontId="61" fillId="0" borderId="0" xfId="0" applyFont="1"/>
    <xf numFmtId="0" fontId="28" fillId="0" borderId="50" xfId="0" applyFont="1" applyBorder="1" applyAlignment="1">
      <alignment horizontal="center" vertical="center" wrapText="1"/>
    </xf>
    <xf numFmtId="0" fontId="28" fillId="8" borderId="43" xfId="0" applyFont="1" applyFill="1" applyBorder="1" applyAlignment="1">
      <alignment horizontal="center" vertical="center" wrapText="1"/>
    </xf>
    <xf numFmtId="0" fontId="24" fillId="0" borderId="3" xfId="0" applyFont="1" applyBorder="1" applyAlignment="1">
      <alignment horizontal="center" vertical="center" wrapText="1"/>
    </xf>
    <xf numFmtId="14" fontId="35" fillId="33" borderId="38" xfId="0" applyNumberFormat="1" applyFont="1" applyFill="1" applyBorder="1" applyAlignment="1">
      <alignment horizontal="center" vertical="center" wrapText="1"/>
    </xf>
    <xf numFmtId="14" fontId="35" fillId="19" borderId="38" xfId="0" applyNumberFormat="1" applyFont="1" applyFill="1" applyBorder="1" applyAlignment="1">
      <alignment horizontal="center" vertical="center" wrapText="1"/>
    </xf>
    <xf numFmtId="14" fontId="35" fillId="4" borderId="38" xfId="0" applyNumberFormat="1" applyFont="1" applyFill="1" applyBorder="1" applyAlignment="1">
      <alignment horizontal="center" vertical="center" wrapText="1"/>
    </xf>
    <xf numFmtId="14" fontId="35" fillId="34" borderId="38" xfId="0" applyNumberFormat="1" applyFont="1" applyFill="1" applyBorder="1" applyAlignment="1">
      <alignment horizontal="center" vertical="center" wrapText="1"/>
    </xf>
    <xf numFmtId="14" fontId="35" fillId="35" borderId="38" xfId="0" applyNumberFormat="1" applyFont="1" applyFill="1" applyBorder="1" applyAlignment="1">
      <alignment horizontal="center" vertical="center" wrapText="1"/>
    </xf>
    <xf numFmtId="14" fontId="35" fillId="17" borderId="38" xfId="0" applyNumberFormat="1" applyFont="1" applyFill="1" applyBorder="1" applyAlignment="1">
      <alignment horizontal="center" vertical="center" wrapText="1"/>
    </xf>
    <xf numFmtId="14" fontId="35" fillId="16" borderId="43" xfId="0" applyNumberFormat="1" applyFont="1" applyFill="1" applyBorder="1" applyAlignment="1">
      <alignment horizontal="center" vertical="center" wrapText="1"/>
    </xf>
    <xf numFmtId="0" fontId="28" fillId="0" borderId="47" xfId="0" applyFont="1" applyBorder="1"/>
    <xf numFmtId="166" fontId="28" fillId="0" borderId="38" xfId="0" applyNumberFormat="1" applyFont="1" applyBorder="1"/>
    <xf numFmtId="166" fontId="28" fillId="0" borderId="47" xfId="0" applyNumberFormat="1" applyFont="1" applyBorder="1"/>
    <xf numFmtId="1" fontId="28" fillId="0" borderId="47" xfId="0" applyNumberFormat="1" applyFont="1" applyBorder="1"/>
    <xf numFmtId="0" fontId="28" fillId="0" borderId="47" xfId="0" applyFont="1" applyBorder="1" applyAlignment="1">
      <alignment wrapText="1"/>
    </xf>
    <xf numFmtId="166" fontId="28" fillId="0" borderId="38" xfId="0" applyNumberFormat="1" applyFont="1" applyBorder="1" applyAlignment="1">
      <alignment horizontal="center" vertical="center"/>
    </xf>
    <xf numFmtId="166" fontId="28" fillId="0" borderId="38" xfId="2" applyNumberFormat="1" applyFont="1" applyBorder="1" applyAlignment="1">
      <alignment horizontal="center" vertical="center"/>
    </xf>
    <xf numFmtId="1" fontId="28" fillId="0" borderId="38" xfId="2" applyNumberFormat="1" applyFont="1" applyBorder="1" applyAlignment="1">
      <alignment horizontal="center" vertical="center"/>
    </xf>
    <xf numFmtId="3" fontId="28" fillId="0" borderId="5" xfId="0" applyNumberFormat="1" applyFont="1" applyBorder="1" applyAlignment="1">
      <alignment horizontal="center" vertical="center" wrapText="1"/>
    </xf>
    <xf numFmtId="0" fontId="28" fillId="0" borderId="40" xfId="0" applyFont="1" applyBorder="1" applyAlignment="1">
      <alignment horizontal="center" vertical="center" wrapText="1"/>
    </xf>
    <xf numFmtId="3" fontId="28" fillId="0" borderId="42" xfId="0" applyNumberFormat="1" applyFont="1" applyBorder="1" applyAlignment="1">
      <alignment horizontal="center" vertical="center" wrapText="1"/>
    </xf>
    <xf numFmtId="0" fontId="28" fillId="0" borderId="58" xfId="0" applyFont="1" applyBorder="1"/>
    <xf numFmtId="0" fontId="28" fillId="8" borderId="47" xfId="0" applyFont="1" applyFill="1" applyBorder="1" applyAlignment="1">
      <alignment horizontal="left" vertical="center" wrapText="1"/>
    </xf>
    <xf numFmtId="166" fontId="28" fillId="0" borderId="38" xfId="0" applyNumberFormat="1" applyFont="1" applyBorder="1" applyAlignment="1">
      <alignment vertical="center"/>
    </xf>
    <xf numFmtId="166" fontId="28" fillId="0" borderId="47" xfId="0" applyNumberFormat="1" applyFont="1" applyBorder="1" applyAlignment="1">
      <alignment vertical="center"/>
    </xf>
    <xf numFmtId="3" fontId="28" fillId="0" borderId="38" xfId="0" applyNumberFormat="1" applyFont="1" applyBorder="1" applyAlignment="1">
      <alignment horizontal="center" vertical="center" wrapText="1"/>
    </xf>
    <xf numFmtId="0" fontId="28" fillId="0" borderId="57" xfId="0" applyFont="1" applyBorder="1"/>
    <xf numFmtId="1" fontId="28" fillId="0" borderId="47" xfId="0" applyNumberFormat="1" applyFont="1" applyBorder="1" applyAlignment="1">
      <alignment vertical="center"/>
    </xf>
    <xf numFmtId="1" fontId="28" fillId="0" borderId="43" xfId="2" applyNumberFormat="1" applyFont="1" applyBorder="1" applyAlignment="1">
      <alignment vertical="center"/>
    </xf>
    <xf numFmtId="166" fontId="28" fillId="0" borderId="43" xfId="2" applyNumberFormat="1" applyFont="1" applyBorder="1" applyAlignment="1">
      <alignment vertical="center"/>
    </xf>
    <xf numFmtId="0" fontId="28" fillId="0" borderId="49" xfId="0" applyFont="1" applyBorder="1"/>
    <xf numFmtId="0" fontId="28" fillId="8" borderId="47" xfId="0" applyFont="1" applyFill="1" applyBorder="1" applyAlignment="1">
      <alignment vertical="center" wrapText="1"/>
    </xf>
    <xf numFmtId="3" fontId="28" fillId="8" borderId="38" xfId="0" applyNumberFormat="1" applyFont="1" applyFill="1" applyBorder="1" applyAlignment="1">
      <alignment vertical="center" wrapText="1"/>
    </xf>
    <xf numFmtId="1" fontId="28" fillId="0" borderId="44" xfId="2" applyNumberFormat="1" applyFont="1" applyBorder="1" applyAlignment="1">
      <alignment vertical="center"/>
    </xf>
    <xf numFmtId="166" fontId="28" fillId="0" borderId="44" xfId="2" applyNumberFormat="1" applyFont="1" applyBorder="1" applyAlignment="1">
      <alignment vertical="center"/>
    </xf>
    <xf numFmtId="0" fontId="28" fillId="0" borderId="49" xfId="0" applyFont="1" applyBorder="1" applyAlignment="1">
      <alignment horizontal="left" vertical="center" wrapText="1"/>
    </xf>
    <xf numFmtId="1" fontId="28" fillId="0" borderId="45" xfId="2" applyNumberFormat="1" applyFont="1" applyBorder="1" applyAlignment="1">
      <alignment vertical="center"/>
    </xf>
    <xf numFmtId="166" fontId="28" fillId="0" borderId="45" xfId="2" applyNumberFormat="1" applyFont="1" applyBorder="1" applyAlignment="1">
      <alignment vertical="center"/>
    </xf>
    <xf numFmtId="166" fontId="28" fillId="0" borderId="47" xfId="2" applyNumberFormat="1" applyFont="1" applyBorder="1" applyAlignment="1">
      <alignment horizontal="center" vertical="center"/>
    </xf>
    <xf numFmtId="1" fontId="28" fillId="0" borderId="38" xfId="2" applyNumberFormat="1" applyFont="1" applyBorder="1" applyAlignment="1">
      <alignment vertical="center"/>
    </xf>
    <xf numFmtId="166" fontId="28" fillId="0" borderId="38" xfId="2" applyNumberFormat="1" applyFont="1" applyBorder="1" applyAlignment="1">
      <alignment vertical="center"/>
    </xf>
    <xf numFmtId="0" fontId="28" fillId="4" borderId="38" xfId="0" applyFont="1" applyFill="1" applyBorder="1"/>
    <xf numFmtId="0" fontId="28" fillId="4" borderId="45" xfId="0" applyFont="1" applyFill="1" applyBorder="1"/>
    <xf numFmtId="3" fontId="62" fillId="4" borderId="40" xfId="0" applyNumberFormat="1" applyFont="1" applyFill="1" applyBorder="1" applyAlignment="1">
      <alignment horizontal="center" vertical="center"/>
    </xf>
    <xf numFmtId="0" fontId="62" fillId="4" borderId="45" xfId="0" applyFont="1" applyFill="1" applyBorder="1" applyAlignment="1">
      <alignment horizontal="center" vertical="center"/>
    </xf>
    <xf numFmtId="3" fontId="62" fillId="4" borderId="42" xfId="0" applyNumberFormat="1" applyFont="1" applyFill="1" applyBorder="1" applyAlignment="1">
      <alignment horizontal="center" vertical="center"/>
    </xf>
    <xf numFmtId="0" fontId="62" fillId="4" borderId="0" xfId="0" applyFont="1" applyFill="1" applyAlignment="1">
      <alignment horizontal="center" vertical="center"/>
    </xf>
    <xf numFmtId="0" fontId="28" fillId="4" borderId="45" xfId="0" applyFont="1" applyFill="1" applyBorder="1" applyAlignment="1">
      <alignment horizontal="center"/>
    </xf>
    <xf numFmtId="0" fontId="28" fillId="4" borderId="45" xfId="0" applyFont="1" applyFill="1" applyBorder="1" applyAlignment="1">
      <alignment horizontal="left"/>
    </xf>
    <xf numFmtId="0" fontId="28" fillId="4" borderId="50" xfId="0" applyFont="1" applyFill="1" applyBorder="1" applyAlignment="1">
      <alignment horizontal="center"/>
    </xf>
    <xf numFmtId="0" fontId="28" fillId="4" borderId="50" xfId="0" applyFont="1" applyFill="1" applyBorder="1" applyAlignment="1">
      <alignment wrapText="1"/>
    </xf>
    <xf numFmtId="166" fontId="28" fillId="4" borderId="38" xfId="0" applyNumberFormat="1" applyFont="1" applyFill="1" applyBorder="1"/>
    <xf numFmtId="1" fontId="28" fillId="4" borderId="38" xfId="0" applyNumberFormat="1" applyFont="1" applyFill="1" applyBorder="1"/>
    <xf numFmtId="0" fontId="36" fillId="36" borderId="38" xfId="0" applyFont="1" applyFill="1" applyBorder="1" applyAlignment="1">
      <alignment horizontal="center" vertical="center" wrapText="1"/>
    </xf>
    <xf numFmtId="0" fontId="36" fillId="15" borderId="38" xfId="0" applyFont="1" applyFill="1" applyBorder="1" applyAlignment="1">
      <alignment vertical="center" wrapText="1"/>
    </xf>
    <xf numFmtId="14" fontId="35" fillId="16" borderId="48" xfId="0" applyNumberFormat="1" applyFont="1" applyFill="1" applyBorder="1" applyAlignment="1">
      <alignment horizontal="center" vertical="center" wrapText="1"/>
    </xf>
    <xf numFmtId="0" fontId="36" fillId="36" borderId="43" xfId="0" applyFont="1" applyFill="1" applyBorder="1" applyAlignment="1">
      <alignment horizontal="center" vertical="center" wrapText="1"/>
    </xf>
    <xf numFmtId="14" fontId="35" fillId="33" borderId="58" xfId="0" applyNumberFormat="1" applyFont="1" applyFill="1" applyBorder="1" applyAlignment="1">
      <alignment horizontal="center" vertical="center" wrapText="1"/>
    </xf>
    <xf numFmtId="0" fontId="28" fillId="0" borderId="50" xfId="0" applyFont="1" applyBorder="1" applyAlignment="1">
      <alignment horizontal="left" vertical="center" wrapText="1"/>
    </xf>
    <xf numFmtId="170" fontId="28" fillId="0" borderId="45" xfId="0" applyNumberFormat="1" applyFont="1" applyBorder="1"/>
    <xf numFmtId="0" fontId="28" fillId="0" borderId="50" xfId="0" applyFont="1" applyBorder="1"/>
    <xf numFmtId="0" fontId="63" fillId="37" borderId="13" xfId="0" applyFont="1" applyFill="1" applyBorder="1" applyAlignment="1">
      <alignment horizontal="center" vertical="center"/>
    </xf>
    <xf numFmtId="3" fontId="63" fillId="37" borderId="13" xfId="0" applyNumberFormat="1" applyFont="1" applyFill="1" applyBorder="1" applyAlignment="1">
      <alignment horizontal="center" vertical="center" wrapText="1"/>
    </xf>
    <xf numFmtId="0" fontId="64" fillId="37" borderId="13" xfId="0" applyFont="1" applyFill="1" applyBorder="1" applyAlignment="1">
      <alignment horizontal="center" vertical="center" wrapText="1"/>
    </xf>
    <xf numFmtId="0" fontId="63" fillId="37" borderId="13" xfId="0" applyFont="1" applyFill="1" applyBorder="1" applyAlignment="1">
      <alignment horizontal="center" vertical="center" wrapText="1"/>
    </xf>
    <xf numFmtId="0" fontId="10" fillId="37" borderId="38" xfId="0" applyFont="1" applyFill="1" applyBorder="1" applyAlignment="1">
      <alignment horizontal="center" vertical="center" wrapText="1"/>
    </xf>
    <xf numFmtId="166" fontId="10" fillId="37" borderId="38" xfId="0" applyNumberFormat="1" applyFont="1" applyFill="1" applyBorder="1" applyAlignment="1">
      <alignment horizontal="center" vertical="center" wrapText="1"/>
    </xf>
    <xf numFmtId="0" fontId="65" fillId="7" borderId="38" xfId="0" applyFont="1" applyFill="1" applyBorder="1" applyAlignment="1">
      <alignment horizontal="center" vertical="center" wrapText="1"/>
    </xf>
    <xf numFmtId="166" fontId="65" fillId="7" borderId="47" xfId="0" applyNumberFormat="1" applyFont="1" applyFill="1" applyBorder="1" applyAlignment="1">
      <alignment horizontal="center" vertical="center" wrapText="1"/>
    </xf>
    <xf numFmtId="0" fontId="66" fillId="0" borderId="38" xfId="0" applyFont="1" applyBorder="1" applyAlignment="1">
      <alignment horizontal="center" vertical="center" wrapText="1"/>
    </xf>
    <xf numFmtId="0" fontId="66" fillId="11" borderId="43" xfId="0" applyFont="1" applyFill="1" applyBorder="1" applyAlignment="1">
      <alignment horizontal="center" vertical="center" wrapText="1"/>
    </xf>
    <xf numFmtId="166" fontId="66" fillId="11" borderId="38" xfId="0" applyNumberFormat="1" applyFont="1" applyFill="1" applyBorder="1" applyAlignment="1">
      <alignment horizontal="center" vertical="center" wrapText="1"/>
    </xf>
    <xf numFmtId="166" fontId="24" fillId="0" borderId="38" xfId="0" applyNumberFormat="1" applyFont="1" applyBorder="1" applyAlignment="1">
      <alignment horizontal="center" vertical="center"/>
    </xf>
    <xf numFmtId="0" fontId="24" fillId="0" borderId="5" xfId="0" applyFont="1" applyBorder="1" applyAlignment="1">
      <alignment horizontal="center" vertical="center" wrapText="1"/>
    </xf>
    <xf numFmtId="0" fontId="24" fillId="0" borderId="2" xfId="0" applyFont="1" applyBorder="1" applyAlignment="1">
      <alignment horizontal="right" vertical="center" wrapText="1"/>
    </xf>
    <xf numFmtId="166" fontId="24" fillId="0" borderId="2" xfId="0" applyNumberFormat="1" applyFont="1" applyBorder="1" applyAlignment="1">
      <alignment horizontal="right" vertical="center" wrapText="1"/>
    </xf>
    <xf numFmtId="10" fontId="24" fillId="0" borderId="106" xfId="0" applyNumberFormat="1" applyFont="1" applyBorder="1" applyAlignment="1">
      <alignment horizontal="center" vertical="center" wrapText="1"/>
    </xf>
    <xf numFmtId="166" fontId="24" fillId="0" borderId="2" xfId="0" applyNumberFormat="1" applyFont="1" applyBorder="1" applyAlignment="1">
      <alignment horizontal="center" vertical="center" wrapText="1"/>
    </xf>
    <xf numFmtId="3" fontId="24" fillId="0" borderId="2" xfId="0" applyNumberFormat="1" applyFont="1" applyBorder="1" applyAlignment="1">
      <alignment horizontal="center" vertical="center" wrapText="1"/>
    </xf>
    <xf numFmtId="166" fontId="24" fillId="0" borderId="2" xfId="0" applyNumberFormat="1" applyFont="1" applyBorder="1" applyAlignment="1">
      <alignment vertical="center" wrapText="1"/>
    </xf>
    <xf numFmtId="0" fontId="24" fillId="8" borderId="5" xfId="0" applyFont="1" applyFill="1" applyBorder="1" applyAlignment="1">
      <alignment horizontal="center" vertical="center" wrapText="1"/>
    </xf>
    <xf numFmtId="169" fontId="24" fillId="8" borderId="3" xfId="0" applyNumberFormat="1" applyFont="1" applyFill="1" applyBorder="1" applyAlignment="1">
      <alignment horizontal="center" vertical="center" wrapText="1"/>
    </xf>
    <xf numFmtId="169" fontId="24" fillId="8" borderId="5" xfId="0" applyNumberFormat="1" applyFont="1" applyFill="1" applyBorder="1" applyAlignment="1">
      <alignment horizontal="center" vertical="center" wrapText="1"/>
    </xf>
    <xf numFmtId="169" fontId="28" fillId="0" borderId="3" xfId="0" applyNumberFormat="1" applyFont="1" applyBorder="1" applyAlignment="1">
      <alignment horizontal="center" vertical="center" wrapText="1"/>
    </xf>
    <xf numFmtId="169" fontId="28" fillId="0" borderId="5" xfId="0" applyNumberFormat="1" applyFont="1" applyBorder="1" applyAlignment="1">
      <alignment horizontal="center" vertical="center" wrapText="1"/>
    </xf>
    <xf numFmtId="166" fontId="28" fillId="0" borderId="2" xfId="0" applyNumberFormat="1" applyFont="1" applyBorder="1" applyAlignment="1">
      <alignment horizontal="center" vertical="center" wrapText="1"/>
    </xf>
    <xf numFmtId="0" fontId="28" fillId="0" borderId="5" xfId="0" applyFont="1" applyBorder="1" applyAlignment="1">
      <alignment horizontal="center" vertical="center" wrapText="1"/>
    </xf>
    <xf numFmtId="169" fontId="24" fillId="0" borderId="3" xfId="0" applyNumberFormat="1" applyFont="1" applyBorder="1" applyAlignment="1">
      <alignment horizontal="center" vertical="center" wrapText="1"/>
    </xf>
    <xf numFmtId="169" fontId="24" fillId="0" borderId="5" xfId="0" applyNumberFormat="1" applyFont="1" applyBorder="1" applyAlignment="1">
      <alignment horizontal="center" vertical="center" wrapText="1"/>
    </xf>
    <xf numFmtId="0" fontId="23" fillId="15" borderId="45" xfId="0" applyFont="1" applyFill="1" applyBorder="1" applyAlignment="1">
      <alignment horizontal="center" vertical="center"/>
    </xf>
    <xf numFmtId="3" fontId="23" fillId="15" borderId="42" xfId="0" applyNumberFormat="1" applyFont="1" applyFill="1" applyBorder="1" applyAlignment="1">
      <alignment horizontal="center" vertical="center"/>
    </xf>
    <xf numFmtId="171" fontId="23" fillId="15" borderId="5" xfId="0" applyNumberFormat="1" applyFont="1" applyFill="1" applyBorder="1" applyAlignment="1">
      <alignment horizontal="center" vertical="center"/>
    </xf>
    <xf numFmtId="10" fontId="23" fillId="15" borderId="5" xfId="0" applyNumberFormat="1" applyFont="1" applyFill="1" applyBorder="1" applyAlignment="1">
      <alignment horizontal="center" vertical="center"/>
    </xf>
    <xf numFmtId="166" fontId="0" fillId="0" borderId="0" xfId="0" applyNumberFormat="1"/>
    <xf numFmtId="10" fontId="67" fillId="0" borderId="0" xfId="0" applyNumberFormat="1" applyFont="1"/>
    <xf numFmtId="10" fontId="0" fillId="0" borderId="0" xfId="0" applyNumberFormat="1"/>
    <xf numFmtId="0" fontId="46" fillId="24" borderId="5" xfId="0" applyFont="1" applyFill="1" applyBorder="1"/>
    <xf numFmtId="0" fontId="46" fillId="24" borderId="2" xfId="0" applyFont="1" applyFill="1" applyBorder="1" applyAlignment="1">
      <alignment horizontal="center"/>
    </xf>
    <xf numFmtId="0" fontId="46" fillId="24" borderId="5" xfId="0" applyFont="1" applyFill="1" applyBorder="1" applyAlignment="1">
      <alignment horizontal="center"/>
    </xf>
    <xf numFmtId="0" fontId="69" fillId="24" borderId="5" xfId="0" applyFont="1" applyFill="1" applyBorder="1" applyAlignment="1">
      <alignment horizontal="center" wrapText="1"/>
    </xf>
    <xf numFmtId="0" fontId="70" fillId="24" borderId="5" xfId="0" applyFont="1" applyFill="1" applyBorder="1" applyAlignment="1">
      <alignment horizontal="center"/>
    </xf>
    <xf numFmtId="0" fontId="68" fillId="28" borderId="13" xfId="0" applyFont="1" applyFill="1" applyBorder="1" applyAlignment="1">
      <alignment horizontal="center" vertical="center"/>
    </xf>
    <xf numFmtId="0" fontId="68" fillId="28" borderId="46" xfId="0" applyFont="1" applyFill="1" applyBorder="1" applyAlignment="1">
      <alignment horizontal="center" vertical="center"/>
    </xf>
    <xf numFmtId="0" fontId="68" fillId="28" borderId="46" xfId="0" applyFont="1" applyFill="1" applyBorder="1" applyAlignment="1">
      <alignment horizontal="center" vertical="center" wrapText="1"/>
    </xf>
    <xf numFmtId="0" fontId="68" fillId="29" borderId="46" xfId="0" applyFont="1" applyFill="1" applyBorder="1" applyAlignment="1">
      <alignment horizontal="center" vertical="center" wrapText="1"/>
    </xf>
    <xf numFmtId="0" fontId="68" fillId="38" borderId="46" xfId="0" applyFont="1" applyFill="1" applyBorder="1" applyAlignment="1">
      <alignment horizontal="center" vertical="center" wrapText="1"/>
    </xf>
    <xf numFmtId="0" fontId="68" fillId="39" borderId="46" xfId="0" applyFont="1" applyFill="1" applyBorder="1" applyAlignment="1">
      <alignment horizontal="center" vertical="center" wrapText="1"/>
    </xf>
    <xf numFmtId="0" fontId="0" fillId="0" borderId="0" xfId="0" applyAlignment="1">
      <alignment vertical="center"/>
    </xf>
    <xf numFmtId="0" fontId="72" fillId="0" borderId="0" xfId="0" applyFont="1"/>
    <xf numFmtId="0" fontId="73" fillId="40" borderId="109" xfId="0" applyFont="1" applyFill="1" applyBorder="1" applyAlignment="1">
      <alignment wrapText="1"/>
    </xf>
    <xf numFmtId="0" fontId="0" fillId="40" borderId="110" xfId="0" applyFill="1" applyBorder="1"/>
    <xf numFmtId="0" fontId="0" fillId="40" borderId="111" xfId="0" applyFill="1" applyBorder="1"/>
    <xf numFmtId="0" fontId="74" fillId="0" borderId="111" xfId="0" applyFont="1" applyBorder="1" applyAlignment="1">
      <alignment wrapText="1"/>
    </xf>
    <xf numFmtId="0" fontId="73" fillId="40" borderId="112" xfId="0" applyFont="1" applyFill="1" applyBorder="1" applyAlignment="1">
      <alignment wrapText="1"/>
    </xf>
    <xf numFmtId="0" fontId="0" fillId="40" borderId="98" xfId="0" applyFill="1" applyBorder="1"/>
    <xf numFmtId="0" fontId="0" fillId="40" borderId="97" xfId="0" applyFill="1" applyBorder="1"/>
    <xf numFmtId="0" fontId="72" fillId="0" borderId="111" xfId="0" applyFont="1" applyBorder="1" applyAlignment="1">
      <alignment wrapText="1"/>
    </xf>
    <xf numFmtId="0" fontId="73" fillId="40" borderId="111" xfId="0" applyFont="1" applyFill="1" applyBorder="1" applyAlignment="1">
      <alignment wrapText="1"/>
    </xf>
    <xf numFmtId="0" fontId="73" fillId="40" borderId="113" xfId="0" applyFont="1" applyFill="1" applyBorder="1" applyAlignment="1">
      <alignment wrapText="1"/>
    </xf>
    <xf numFmtId="0" fontId="0" fillId="40" borderId="33" xfId="0" applyFill="1" applyBorder="1"/>
    <xf numFmtId="0" fontId="0" fillId="40" borderId="99" xfId="0" applyFill="1" applyBorder="1"/>
    <xf numFmtId="0" fontId="73" fillId="40" borderId="35" xfId="0" applyFont="1" applyFill="1" applyBorder="1" applyAlignment="1">
      <alignment wrapText="1"/>
    </xf>
    <xf numFmtId="0" fontId="0" fillId="40" borderId="34" xfId="0" applyFill="1" applyBorder="1"/>
    <xf numFmtId="0" fontId="73" fillId="40" borderId="34" xfId="0" applyFont="1" applyFill="1" applyBorder="1" applyAlignment="1">
      <alignment wrapText="1"/>
    </xf>
    <xf numFmtId="0" fontId="72" fillId="0" borderId="34" xfId="0" applyFont="1" applyBorder="1" applyAlignment="1">
      <alignment wrapText="1"/>
    </xf>
    <xf numFmtId="0" fontId="56" fillId="0" borderId="0" xfId="0" applyFont="1" applyAlignment="1">
      <alignment wrapText="1"/>
    </xf>
    <xf numFmtId="0" fontId="0" fillId="40" borderId="116" xfId="0" applyFill="1" applyBorder="1"/>
    <xf numFmtId="0" fontId="73" fillId="40" borderId="116" xfId="0" applyFont="1" applyFill="1" applyBorder="1" applyAlignment="1">
      <alignment wrapText="1"/>
    </xf>
    <xf numFmtId="0" fontId="72" fillId="0" borderId="112" xfId="0" applyFont="1" applyBorder="1" applyAlignment="1">
      <alignment wrapText="1"/>
    </xf>
    <xf numFmtId="0" fontId="0" fillId="0" borderId="98" xfId="0" applyBorder="1"/>
    <xf numFmtId="0" fontId="0" fillId="0" borderId="117" xfId="0" applyBorder="1"/>
    <xf numFmtId="0" fontId="72" fillId="0" borderId="117" xfId="0" applyFont="1" applyBorder="1" applyAlignment="1">
      <alignment wrapText="1"/>
    </xf>
    <xf numFmtId="0" fontId="72" fillId="0" borderId="97" xfId="0" applyFont="1" applyBorder="1" applyAlignment="1">
      <alignment wrapText="1"/>
    </xf>
    <xf numFmtId="0" fontId="72" fillId="0" borderId="113" xfId="0" applyFont="1" applyBorder="1" applyAlignment="1">
      <alignment wrapText="1"/>
    </xf>
    <xf numFmtId="0" fontId="0" fillId="0" borderId="33" xfId="0" applyBorder="1"/>
    <xf numFmtId="0" fontId="0" fillId="0" borderId="34" xfId="0" applyBorder="1"/>
    <xf numFmtId="0" fontId="72" fillId="0" borderId="99" xfId="0" applyFont="1" applyBorder="1" applyAlignment="1">
      <alignment wrapText="1"/>
    </xf>
    <xf numFmtId="0" fontId="72" fillId="41" borderId="34" xfId="0" applyFont="1" applyFill="1" applyBorder="1" applyAlignment="1">
      <alignment wrapText="1"/>
    </xf>
    <xf numFmtId="0" fontId="72" fillId="24" borderId="33" xfId="0" applyFont="1" applyFill="1" applyBorder="1" applyAlignment="1">
      <alignment wrapText="1"/>
    </xf>
    <xf numFmtId="0" fontId="72" fillId="40" borderId="34" xfId="0" applyFont="1" applyFill="1" applyBorder="1" applyAlignment="1">
      <alignment wrapText="1"/>
    </xf>
    <xf numFmtId="0" fontId="72" fillId="0" borderId="0" xfId="0" applyFont="1" applyAlignment="1">
      <alignment wrapText="1"/>
    </xf>
    <xf numFmtId="0" fontId="72" fillId="40" borderId="97" xfId="0" applyFont="1" applyFill="1" applyBorder="1" applyAlignment="1">
      <alignment wrapText="1"/>
    </xf>
    <xf numFmtId="0" fontId="75" fillId="0" borderId="0" xfId="0" applyFont="1"/>
    <xf numFmtId="0" fontId="45" fillId="0" borderId="37" xfId="0" applyFont="1" applyBorder="1"/>
    <xf numFmtId="0" fontId="45" fillId="0" borderId="42" xfId="0" applyFont="1" applyBorder="1"/>
    <xf numFmtId="0" fontId="46" fillId="0" borderId="42" xfId="0" applyFont="1" applyBorder="1"/>
    <xf numFmtId="0" fontId="46" fillId="0" borderId="42" xfId="0" applyFont="1" applyBorder="1" applyAlignment="1">
      <alignment wrapText="1"/>
    </xf>
    <xf numFmtId="0" fontId="45" fillId="24" borderId="37" xfId="0" applyFont="1" applyFill="1" applyBorder="1"/>
    <xf numFmtId="0" fontId="45" fillId="24" borderId="42" xfId="0" applyFont="1" applyFill="1" applyBorder="1"/>
    <xf numFmtId="0" fontId="46" fillId="24" borderId="42" xfId="0" applyFont="1" applyFill="1" applyBorder="1"/>
    <xf numFmtId="0" fontId="45" fillId="24" borderId="41" xfId="0" applyFont="1" applyFill="1" applyBorder="1"/>
    <xf numFmtId="0" fontId="46" fillId="24" borderId="41" xfId="0" applyFont="1" applyFill="1" applyBorder="1"/>
    <xf numFmtId="0" fontId="45" fillId="24" borderId="40" xfId="0" applyFont="1" applyFill="1" applyBorder="1"/>
    <xf numFmtId="0" fontId="45" fillId="24" borderId="2" xfId="0" applyFont="1" applyFill="1" applyBorder="1"/>
    <xf numFmtId="0" fontId="45" fillId="24" borderId="5" xfId="0" applyFont="1" applyFill="1" applyBorder="1"/>
    <xf numFmtId="0" fontId="45" fillId="24" borderId="65" xfId="0" applyFont="1" applyFill="1" applyBorder="1"/>
    <xf numFmtId="0" fontId="45" fillId="24" borderId="17" xfId="0" applyFont="1" applyFill="1" applyBorder="1"/>
    <xf numFmtId="0" fontId="46" fillId="24" borderId="66" xfId="0" applyFont="1" applyFill="1" applyBorder="1"/>
    <xf numFmtId="0" fontId="45" fillId="24" borderId="38" xfId="0" applyFont="1" applyFill="1" applyBorder="1"/>
    <xf numFmtId="0" fontId="45" fillId="24" borderId="58" xfId="0" applyFont="1" applyFill="1" applyBorder="1"/>
    <xf numFmtId="0" fontId="46" fillId="24" borderId="58" xfId="0" applyFont="1" applyFill="1" applyBorder="1"/>
    <xf numFmtId="0" fontId="45" fillId="24" borderId="45" xfId="0" applyFont="1" applyFill="1" applyBorder="1"/>
    <xf numFmtId="0" fontId="45" fillId="24" borderId="64" xfId="0" applyFont="1" applyFill="1" applyBorder="1"/>
    <xf numFmtId="0" fontId="46" fillId="24" borderId="64" xfId="0" applyFont="1" applyFill="1" applyBorder="1"/>
    <xf numFmtId="0" fontId="47" fillId="24" borderId="45" xfId="0" applyFont="1" applyFill="1" applyBorder="1"/>
    <xf numFmtId="0" fontId="47" fillId="24" borderId="64" xfId="0" applyFont="1" applyFill="1" applyBorder="1"/>
    <xf numFmtId="0" fontId="41" fillId="24" borderId="64" xfId="0" applyFont="1" applyFill="1" applyBorder="1"/>
    <xf numFmtId="0" fontId="41" fillId="24" borderId="45" xfId="0" applyFont="1" applyFill="1" applyBorder="1"/>
    <xf numFmtId="0" fontId="46" fillId="24" borderId="5" xfId="0" applyFont="1" applyFill="1" applyBorder="1" applyAlignment="1">
      <alignment horizontal="center" wrapText="1"/>
    </xf>
    <xf numFmtId="0" fontId="0" fillId="0" borderId="0" xfId="0" applyAlignment="1">
      <alignment wrapText="1"/>
    </xf>
    <xf numFmtId="0" fontId="32" fillId="0" borderId="23" xfId="0" applyFont="1" applyBorder="1" applyAlignment="1">
      <alignment horizontal="center" vertical="center" wrapText="1"/>
    </xf>
    <xf numFmtId="0" fontId="32" fillId="0" borderId="34" xfId="0" applyFont="1" applyBorder="1" applyAlignment="1">
      <alignment horizontal="center" vertical="center" wrapText="1"/>
    </xf>
    <xf numFmtId="166" fontId="24" fillId="0" borderId="13" xfId="0" applyNumberFormat="1" applyFont="1" applyBorder="1" applyAlignment="1">
      <alignment horizontal="center" vertical="center" wrapText="1"/>
    </xf>
    <xf numFmtId="0" fontId="28" fillId="0" borderId="43" xfId="0" applyFont="1" applyBorder="1" applyAlignment="1">
      <alignment horizontal="center" vertical="center" wrapText="1"/>
    </xf>
    <xf numFmtId="0" fontId="28" fillId="0" borderId="48" xfId="0" applyFont="1" applyBorder="1" applyAlignment="1">
      <alignment horizontal="center" vertical="center" wrapText="1"/>
    </xf>
    <xf numFmtId="0" fontId="28" fillId="0" borderId="43" xfId="0" applyFont="1" applyBorder="1" applyAlignment="1">
      <alignment horizontal="center" wrapText="1"/>
    </xf>
    <xf numFmtId="0" fontId="28" fillId="0" borderId="44" xfId="0" applyFont="1" applyBorder="1" applyAlignment="1">
      <alignment horizontal="center" wrapText="1"/>
    </xf>
    <xf numFmtId="0" fontId="28" fillId="0" borderId="17" xfId="0" applyFont="1" applyBorder="1" applyAlignment="1">
      <alignment horizontal="center" vertical="center" wrapText="1"/>
    </xf>
    <xf numFmtId="169" fontId="24" fillId="0" borderId="46" xfId="0" applyNumberFormat="1" applyFont="1" applyBorder="1" applyAlignment="1">
      <alignment horizontal="center" vertical="center" wrapText="1"/>
    </xf>
    <xf numFmtId="166" fontId="24" fillId="0" borderId="38" xfId="0" applyNumberFormat="1" applyFont="1" applyBorder="1" applyAlignment="1">
      <alignment vertical="center" wrapText="1"/>
    </xf>
    <xf numFmtId="0" fontId="28" fillId="0" borderId="50" xfId="0" applyFont="1" applyBorder="1" applyAlignment="1">
      <alignment wrapText="1"/>
    </xf>
    <xf numFmtId="0" fontId="28" fillId="0" borderId="47" xfId="0" applyFont="1" applyBorder="1" applyAlignment="1">
      <alignment vertical="center" wrapText="1"/>
    </xf>
    <xf numFmtId="0" fontId="28" fillId="0" borderId="38" xfId="0" applyFont="1" applyBorder="1" applyAlignment="1">
      <alignment vertical="center"/>
    </xf>
    <xf numFmtId="0" fontId="28" fillId="0" borderId="0" xfId="0" applyFont="1" applyAlignment="1">
      <alignment vertical="center"/>
    </xf>
    <xf numFmtId="0" fontId="28" fillId="0" borderId="48" xfId="0" applyFont="1" applyBorder="1" applyAlignment="1">
      <alignment horizontal="left" vertical="center" wrapText="1"/>
    </xf>
    <xf numFmtId="0" fontId="28" fillId="0" borderId="48" xfId="0" applyFont="1" applyBorder="1" applyAlignment="1">
      <alignment wrapText="1"/>
    </xf>
    <xf numFmtId="0" fontId="28" fillId="0" borderId="43" xfId="0" applyFont="1" applyBorder="1"/>
    <xf numFmtId="166" fontId="28" fillId="0" borderId="43" xfId="0" applyNumberFormat="1" applyFont="1" applyBorder="1"/>
    <xf numFmtId="166" fontId="28" fillId="0" borderId="48" xfId="0" applyNumberFormat="1" applyFont="1" applyBorder="1"/>
    <xf numFmtId="0" fontId="28" fillId="0" borderId="58" xfId="0" applyFont="1" applyBorder="1" applyAlignment="1">
      <alignment wrapText="1"/>
    </xf>
    <xf numFmtId="0" fontId="28" fillId="8" borderId="58" xfId="0" applyFont="1" applyFill="1" applyBorder="1" applyAlignment="1">
      <alignment horizontal="left" vertical="center" wrapText="1"/>
    </xf>
    <xf numFmtId="0" fontId="28" fillId="8" borderId="43" xfId="0" applyFont="1" applyFill="1" applyBorder="1" applyAlignment="1">
      <alignment vertical="center" wrapText="1"/>
    </xf>
    <xf numFmtId="0" fontId="28" fillId="0" borderId="38" xfId="0" applyFont="1" applyBorder="1" applyAlignment="1">
      <alignment horizontal="center" wrapText="1"/>
    </xf>
    <xf numFmtId="0" fontId="4" fillId="4" borderId="0" xfId="0" applyFont="1" applyFill="1" applyAlignment="1">
      <alignment horizontal="center" vertical="center" wrapText="1"/>
    </xf>
    <xf numFmtId="0" fontId="4" fillId="0" borderId="2" xfId="0" applyFont="1" applyBorder="1" applyAlignment="1">
      <alignment horizontal="center" vertical="center"/>
    </xf>
    <xf numFmtId="0" fontId="4" fillId="0" borderId="3" xfId="0" applyFont="1" applyBorder="1" applyAlignment="1">
      <alignment horizontal="center" vertical="center"/>
    </xf>
    <xf numFmtId="0" fontId="4" fillId="0" borderId="5" xfId="0" applyFont="1" applyBorder="1" applyAlignment="1">
      <alignment horizontal="center" vertical="center"/>
    </xf>
    <xf numFmtId="0" fontId="4" fillId="0" borderId="6" xfId="0" applyFont="1" applyBorder="1" applyAlignment="1">
      <alignment horizontal="center" vertical="center"/>
    </xf>
    <xf numFmtId="0" fontId="4" fillId="0" borderId="7" xfId="0" applyFont="1" applyBorder="1" applyAlignment="1">
      <alignment horizontal="center" vertical="center"/>
    </xf>
    <xf numFmtId="0" fontId="4" fillId="0" borderId="8" xfId="0" applyFont="1" applyBorder="1" applyAlignment="1">
      <alignment horizontal="center" vertical="center"/>
    </xf>
    <xf numFmtId="0" fontId="4" fillId="0" borderId="9" xfId="0" applyFont="1" applyBorder="1" applyAlignment="1">
      <alignment horizontal="center" vertical="center"/>
    </xf>
    <xf numFmtId="0" fontId="4" fillId="0" borderId="10" xfId="0" applyFont="1" applyBorder="1" applyAlignment="1">
      <alignment horizontal="center" vertical="center"/>
    </xf>
    <xf numFmtId="0" fontId="4" fillId="0" borderId="11" xfId="0" applyFont="1" applyBorder="1" applyAlignment="1">
      <alignment horizontal="center" vertical="center"/>
    </xf>
    <xf numFmtId="0" fontId="4" fillId="0" borderId="16" xfId="0" applyFont="1" applyBorder="1" applyAlignment="1">
      <alignment horizontal="center" vertical="center" wrapText="1"/>
    </xf>
    <xf numFmtId="0" fontId="4" fillId="0" borderId="23" xfId="0" applyFont="1" applyBorder="1" applyAlignment="1">
      <alignment horizontal="center" vertical="center" wrapText="1"/>
    </xf>
    <xf numFmtId="0" fontId="4" fillId="0" borderId="0" xfId="0" applyFont="1" applyAlignment="1">
      <alignment horizontal="center" vertical="center" wrapText="1"/>
    </xf>
    <xf numFmtId="0" fontId="3" fillId="7" borderId="27" xfId="0" applyFont="1" applyFill="1" applyBorder="1" applyAlignment="1">
      <alignment horizontal="center" vertical="center" wrapText="1"/>
    </xf>
    <xf numFmtId="0" fontId="4" fillId="0" borderId="28" xfId="0" applyFont="1" applyBorder="1" applyAlignment="1">
      <alignment horizontal="left" vertical="center" wrapText="1"/>
    </xf>
    <xf numFmtId="0" fontId="4" fillId="0" borderId="0" xfId="0" applyFont="1" applyAlignment="1">
      <alignment horizontal="left" vertical="center" wrapText="1"/>
    </xf>
    <xf numFmtId="0" fontId="3" fillId="0" borderId="27" xfId="0" applyFont="1" applyBorder="1" applyAlignment="1">
      <alignment horizontal="center" vertical="center" wrapText="1"/>
    </xf>
    <xf numFmtId="0" fontId="3" fillId="0" borderId="23" xfId="0" applyFont="1" applyBorder="1" applyAlignment="1">
      <alignment horizontal="center" vertical="center" wrapText="1"/>
    </xf>
    <xf numFmtId="0" fontId="4" fillId="5" borderId="12" xfId="0" applyFont="1" applyFill="1" applyBorder="1" applyAlignment="1">
      <alignment horizontal="center" vertical="center" textRotation="90"/>
    </xf>
    <xf numFmtId="0" fontId="4" fillId="0" borderId="13" xfId="0" applyFont="1" applyBorder="1" applyAlignment="1">
      <alignment horizontal="center" vertical="center" wrapText="1"/>
    </xf>
    <xf numFmtId="0" fontId="4" fillId="0" borderId="17" xfId="0" applyFont="1" applyBorder="1" applyAlignment="1">
      <alignment horizontal="center" vertical="center" wrapText="1"/>
    </xf>
    <xf numFmtId="0" fontId="4" fillId="0" borderId="15" xfId="0" applyFont="1" applyBorder="1" applyAlignment="1">
      <alignment horizontal="center" vertical="center" wrapText="1"/>
    </xf>
    <xf numFmtId="0" fontId="4" fillId="3" borderId="0" xfId="0" applyFont="1" applyFill="1" applyAlignment="1">
      <alignment horizontal="center" vertical="center"/>
    </xf>
    <xf numFmtId="3" fontId="13" fillId="0" borderId="3" xfId="3" applyNumberFormat="1" applyFont="1" applyBorder="1" applyAlignment="1">
      <alignment horizontal="left" vertical="center"/>
    </xf>
    <xf numFmtId="3" fontId="13" fillId="0" borderId="36" xfId="3" applyNumberFormat="1" applyFont="1" applyBorder="1" applyAlignment="1">
      <alignment horizontal="left" vertical="center"/>
    </xf>
    <xf numFmtId="0" fontId="5" fillId="10" borderId="0" xfId="0" applyFont="1" applyFill="1" applyAlignment="1">
      <alignment horizontal="center" vertical="center"/>
    </xf>
    <xf numFmtId="0" fontId="3" fillId="0" borderId="3" xfId="0" applyFont="1" applyBorder="1" applyAlignment="1">
      <alignment horizontal="center" vertical="center" wrapText="1"/>
    </xf>
    <xf numFmtId="0" fontId="3" fillId="0" borderId="36" xfId="0" applyFont="1" applyBorder="1" applyAlignment="1">
      <alignment horizontal="center" vertical="center" wrapText="1"/>
    </xf>
    <xf numFmtId="3" fontId="10" fillId="10" borderId="2" xfId="0" applyNumberFormat="1" applyFont="1" applyFill="1" applyBorder="1" applyAlignment="1">
      <alignment horizontal="center" vertical="center"/>
    </xf>
    <xf numFmtId="3" fontId="14" fillId="10" borderId="3" xfId="4" applyNumberFormat="1" applyFont="1" applyFill="1" applyBorder="1" applyAlignment="1">
      <alignment horizontal="left" vertical="center"/>
    </xf>
    <xf numFmtId="3" fontId="14" fillId="10" borderId="36" xfId="4" applyNumberFormat="1" applyFont="1" applyFill="1" applyBorder="1" applyAlignment="1">
      <alignment horizontal="left" vertical="center"/>
    </xf>
    <xf numFmtId="3" fontId="18" fillId="11" borderId="3" xfId="0" applyNumberFormat="1" applyFont="1" applyFill="1" applyBorder="1" applyAlignment="1">
      <alignment horizontal="center"/>
    </xf>
    <xf numFmtId="3" fontId="18" fillId="11" borderId="36" xfId="0" applyNumberFormat="1" applyFont="1" applyFill="1" applyBorder="1" applyAlignment="1">
      <alignment horizontal="center"/>
    </xf>
    <xf numFmtId="3" fontId="18" fillId="11" borderId="5" xfId="0" applyNumberFormat="1" applyFont="1" applyFill="1" applyBorder="1" applyAlignment="1">
      <alignment horizontal="center"/>
    </xf>
    <xf numFmtId="0" fontId="20" fillId="3" borderId="3" xfId="0" applyFont="1" applyFill="1" applyBorder="1" applyAlignment="1">
      <alignment horizontal="center"/>
    </xf>
    <xf numFmtId="0" fontId="20" fillId="3" borderId="5" xfId="0" applyFont="1" applyFill="1" applyBorder="1" applyAlignment="1">
      <alignment horizontal="center"/>
    </xf>
    <xf numFmtId="0" fontId="27" fillId="0" borderId="13" xfId="0" applyFont="1" applyBorder="1" applyAlignment="1">
      <alignment horizontal="center" vertical="center" wrapText="1"/>
    </xf>
    <xf numFmtId="0" fontId="27" fillId="0" borderId="37" xfId="0" applyFont="1" applyBorder="1" applyAlignment="1">
      <alignment horizontal="center" vertical="center" wrapText="1"/>
    </xf>
    <xf numFmtId="0" fontId="24" fillId="0" borderId="13" xfId="0" applyFont="1" applyBorder="1" applyAlignment="1">
      <alignment horizontal="center" vertical="center" wrapText="1"/>
    </xf>
    <xf numFmtId="0" fontId="24" fillId="0" borderId="37" xfId="0" applyFont="1" applyBorder="1" applyAlignment="1">
      <alignment horizontal="center" vertical="center" wrapText="1"/>
    </xf>
    <xf numFmtId="0" fontId="24" fillId="0" borderId="17" xfId="0" applyFont="1" applyBorder="1" applyAlignment="1">
      <alignment horizontal="center" vertical="center" wrapText="1"/>
    </xf>
    <xf numFmtId="0" fontId="24" fillId="0" borderId="13" xfId="0" applyFont="1" applyBorder="1" applyAlignment="1">
      <alignment horizontal="center" vertical="center"/>
    </xf>
    <xf numFmtId="0" fontId="24" fillId="0" borderId="37" xfId="0" applyFont="1" applyBorder="1" applyAlignment="1">
      <alignment horizontal="center" vertical="center"/>
    </xf>
    <xf numFmtId="0" fontId="25" fillId="0" borderId="13" xfId="6" applyFont="1" applyBorder="1" applyAlignment="1">
      <alignment horizontal="center" vertical="center"/>
    </xf>
    <xf numFmtId="0" fontId="25" fillId="0" borderId="37" xfId="6" applyFont="1" applyBorder="1" applyAlignment="1">
      <alignment horizontal="center" vertical="center"/>
    </xf>
    <xf numFmtId="0" fontId="26" fillId="0" borderId="13" xfId="6" applyFont="1" applyBorder="1" applyAlignment="1">
      <alignment horizontal="center" vertical="center"/>
    </xf>
    <xf numFmtId="0" fontId="26" fillId="0" borderId="37" xfId="6" applyFont="1" applyBorder="1" applyAlignment="1">
      <alignment horizontal="center" vertical="center"/>
    </xf>
    <xf numFmtId="0" fontId="24" fillId="0" borderId="17" xfId="0" applyFont="1" applyBorder="1" applyAlignment="1">
      <alignment horizontal="center" vertical="center"/>
    </xf>
    <xf numFmtId="0" fontId="24" fillId="23" borderId="13" xfId="0" applyFont="1" applyFill="1" applyBorder="1" applyAlignment="1">
      <alignment horizontal="center" vertical="center" wrapText="1"/>
    </xf>
    <xf numFmtId="0" fontId="24" fillId="23" borderId="17" xfId="0" applyFont="1" applyFill="1" applyBorder="1" applyAlignment="1">
      <alignment horizontal="center" vertical="center" wrapText="1"/>
    </xf>
    <xf numFmtId="0" fontId="24" fillId="23" borderId="37" xfId="0" applyFont="1" applyFill="1" applyBorder="1" applyAlignment="1">
      <alignment horizontal="center" vertical="center" wrapText="1"/>
    </xf>
    <xf numFmtId="3" fontId="24" fillId="18" borderId="43" xfId="0" applyNumberFormat="1" applyFont="1" applyFill="1" applyBorder="1" applyAlignment="1">
      <alignment horizontal="center" vertical="center"/>
    </xf>
    <xf numFmtId="3" fontId="24" fillId="18" borderId="44" xfId="0" applyNumberFormat="1" applyFont="1" applyFill="1" applyBorder="1" applyAlignment="1">
      <alignment horizontal="center" vertical="center"/>
    </xf>
    <xf numFmtId="3" fontId="24" fillId="18" borderId="45" xfId="0" applyNumberFormat="1" applyFont="1" applyFill="1" applyBorder="1" applyAlignment="1">
      <alignment horizontal="center" vertical="center"/>
    </xf>
    <xf numFmtId="166" fontId="27" fillId="0" borderId="58" xfId="2" applyNumberFormat="1" applyFont="1" applyBorder="1" applyAlignment="1">
      <alignment horizontal="center" vertical="center"/>
    </xf>
    <xf numFmtId="0" fontId="27" fillId="20" borderId="43" xfId="0" applyFont="1" applyFill="1" applyBorder="1" applyAlignment="1">
      <alignment horizontal="center" vertical="center" wrapText="1"/>
    </xf>
    <xf numFmtId="0" fontId="27" fillId="20" borderId="45" xfId="0" applyFont="1" applyFill="1" applyBorder="1" applyAlignment="1">
      <alignment horizontal="center" vertical="center" wrapText="1"/>
    </xf>
    <xf numFmtId="0" fontId="27" fillId="20" borderId="44" xfId="0" applyFont="1" applyFill="1" applyBorder="1" applyAlignment="1">
      <alignment horizontal="center" vertical="center" wrapText="1"/>
    </xf>
    <xf numFmtId="0" fontId="24" fillId="0" borderId="47" xfId="0" applyFont="1" applyBorder="1" applyAlignment="1">
      <alignment horizontal="center" vertical="center" wrapText="1"/>
    </xf>
    <xf numFmtId="0" fontId="27" fillId="0" borderId="48" xfId="0" applyFont="1" applyBorder="1" applyAlignment="1">
      <alignment horizontal="center" vertical="center" wrapText="1"/>
    </xf>
    <xf numFmtId="0" fontId="27" fillId="0" borderId="50" xfId="0" applyFont="1" applyBorder="1" applyAlignment="1">
      <alignment horizontal="center" vertical="center" wrapText="1"/>
    </xf>
    <xf numFmtId="0" fontId="27" fillId="0" borderId="47" xfId="0" applyFont="1" applyBorder="1" applyAlignment="1">
      <alignment horizontal="center" vertical="center" wrapText="1"/>
    </xf>
    <xf numFmtId="166" fontId="27" fillId="0" borderId="38" xfId="2" applyNumberFormat="1" applyFont="1" applyBorder="1" applyAlignment="1">
      <alignment horizontal="center" vertical="center"/>
    </xf>
    <xf numFmtId="166" fontId="27" fillId="0" borderId="55" xfId="2" applyNumberFormat="1" applyFont="1" applyBorder="1" applyAlignment="1">
      <alignment horizontal="center" vertical="center"/>
    </xf>
    <xf numFmtId="166" fontId="27" fillId="0" borderId="44" xfId="2" applyNumberFormat="1" applyFont="1" applyBorder="1" applyAlignment="1">
      <alignment horizontal="center" vertical="center"/>
    </xf>
    <xf numFmtId="0" fontId="27" fillId="8" borderId="17" xfId="0" applyFont="1" applyFill="1" applyBorder="1" applyAlignment="1">
      <alignment horizontal="center" vertical="center" wrapText="1"/>
    </xf>
    <xf numFmtId="0" fontId="27" fillId="8" borderId="37" xfId="0" applyFont="1" applyFill="1" applyBorder="1" applyAlignment="1">
      <alignment horizontal="center" vertical="center" wrapText="1"/>
    </xf>
    <xf numFmtId="0" fontId="27" fillId="0" borderId="17" xfId="0" applyFont="1" applyBorder="1" applyAlignment="1">
      <alignment horizontal="center" vertical="center" wrapText="1"/>
    </xf>
    <xf numFmtId="0" fontId="27" fillId="23" borderId="38" xfId="0" applyFont="1" applyFill="1" applyBorder="1" applyAlignment="1">
      <alignment horizontal="center" vertical="center" wrapText="1"/>
    </xf>
    <xf numFmtId="0" fontId="24" fillId="23" borderId="2" xfId="0" applyFont="1" applyFill="1" applyBorder="1" applyAlignment="1">
      <alignment horizontal="center" vertical="center" wrapText="1"/>
    </xf>
    <xf numFmtId="0" fontId="27" fillId="23" borderId="51" xfId="0" applyFont="1" applyFill="1" applyBorder="1" applyAlignment="1">
      <alignment horizontal="center" vertical="center" wrapText="1"/>
    </xf>
    <xf numFmtId="0" fontId="27" fillId="23" borderId="0" xfId="0" applyFont="1" applyFill="1" applyAlignment="1">
      <alignment horizontal="center" vertical="center" wrapText="1"/>
    </xf>
    <xf numFmtId="0" fontId="27" fillId="23" borderId="4" xfId="0" applyFont="1" applyFill="1" applyBorder="1" applyAlignment="1">
      <alignment horizontal="center" vertical="center" wrapText="1"/>
    </xf>
    <xf numFmtId="0" fontId="27" fillId="0" borderId="56" xfId="0" applyFont="1" applyBorder="1" applyAlignment="1">
      <alignment horizontal="center" vertical="center" wrapText="1"/>
    </xf>
    <xf numFmtId="0" fontId="27" fillId="8" borderId="38" xfId="0" applyFont="1" applyFill="1" applyBorder="1" applyAlignment="1">
      <alignment horizontal="center" vertical="center" wrapText="1"/>
    </xf>
    <xf numFmtId="0" fontId="24" fillId="0" borderId="2" xfId="0" applyFont="1" applyBorder="1" applyAlignment="1">
      <alignment horizontal="center" vertical="center" wrapText="1"/>
    </xf>
    <xf numFmtId="0" fontId="24" fillId="8" borderId="38" xfId="0" applyFont="1" applyFill="1" applyBorder="1" applyAlignment="1">
      <alignment horizontal="center" vertical="center" wrapText="1"/>
    </xf>
    <xf numFmtId="3" fontId="24" fillId="18" borderId="13" xfId="0" applyNumberFormat="1" applyFont="1" applyFill="1" applyBorder="1" applyAlignment="1">
      <alignment horizontal="center" vertical="center"/>
    </xf>
    <xf numFmtId="3" fontId="24" fillId="18" borderId="37" xfId="0" applyNumberFormat="1" applyFont="1" applyFill="1" applyBorder="1" applyAlignment="1">
      <alignment horizontal="center" vertical="center"/>
    </xf>
    <xf numFmtId="166" fontId="24" fillId="0" borderId="38" xfId="2" applyNumberFormat="1" applyFont="1" applyBorder="1" applyAlignment="1">
      <alignment horizontal="center" vertical="center"/>
    </xf>
    <xf numFmtId="166" fontId="24" fillId="0" borderId="46" xfId="0" applyNumberFormat="1" applyFont="1" applyBorder="1" applyAlignment="1">
      <alignment horizontal="center" vertical="center"/>
    </xf>
    <xf numFmtId="166" fontId="24" fillId="0" borderId="42" xfId="0" applyNumberFormat="1" applyFont="1" applyBorder="1" applyAlignment="1">
      <alignment horizontal="center" vertical="center"/>
    </xf>
    <xf numFmtId="0" fontId="24" fillId="19" borderId="13" xfId="0" applyFont="1" applyFill="1" applyBorder="1" applyAlignment="1">
      <alignment vertical="center" wrapText="1"/>
    </xf>
    <xf numFmtId="0" fontId="24" fillId="19" borderId="17" xfId="0" applyFont="1" applyFill="1" applyBorder="1" applyAlignment="1">
      <alignment vertical="center" wrapText="1"/>
    </xf>
    <xf numFmtId="3" fontId="24" fillId="18" borderId="17" xfId="0" applyNumberFormat="1" applyFont="1" applyFill="1" applyBorder="1" applyAlignment="1">
      <alignment horizontal="center" vertical="center"/>
    </xf>
    <xf numFmtId="0" fontId="24" fillId="19" borderId="37" xfId="0" applyFont="1" applyFill="1" applyBorder="1" applyAlignment="1">
      <alignment vertical="center" wrapText="1"/>
    </xf>
    <xf numFmtId="0" fontId="27" fillId="20" borderId="45" xfId="0" applyFont="1" applyFill="1" applyBorder="1" applyAlignment="1">
      <alignment horizontal="center" vertical="center"/>
    </xf>
    <xf numFmtId="166" fontId="27" fillId="0" borderId="46" xfId="2" applyNumberFormat="1" applyFont="1" applyBorder="1" applyAlignment="1">
      <alignment horizontal="center" vertical="center"/>
    </xf>
    <xf numFmtId="166" fontId="27" fillId="0" borderId="41" xfId="2" applyNumberFormat="1" applyFont="1" applyBorder="1" applyAlignment="1">
      <alignment horizontal="center" vertical="center"/>
    </xf>
    <xf numFmtId="166" fontId="24" fillId="0" borderId="52" xfId="2" applyNumberFormat="1" applyFont="1" applyBorder="1" applyAlignment="1">
      <alignment horizontal="center" vertical="center"/>
    </xf>
    <xf numFmtId="166" fontId="24" fillId="0" borderId="54" xfId="2" applyNumberFormat="1" applyFont="1" applyBorder="1" applyAlignment="1">
      <alignment horizontal="center" vertical="center"/>
    </xf>
    <xf numFmtId="166" fontId="24" fillId="0" borderId="53" xfId="2" applyNumberFormat="1" applyFont="1" applyBorder="1" applyAlignment="1">
      <alignment horizontal="center" vertical="center"/>
    </xf>
    <xf numFmtId="166" fontId="24" fillId="0" borderId="5" xfId="0" applyNumberFormat="1" applyFont="1" applyBorder="1" applyAlignment="1">
      <alignment horizontal="center" vertical="center"/>
    </xf>
    <xf numFmtId="3" fontId="27" fillId="0" borderId="54" xfId="0" applyNumberFormat="1" applyFont="1" applyBorder="1" applyAlignment="1">
      <alignment horizontal="center" vertical="center"/>
    </xf>
    <xf numFmtId="3" fontId="27" fillId="0" borderId="53" xfId="0" applyNumberFormat="1" applyFont="1" applyBorder="1" applyAlignment="1">
      <alignment horizontal="center" vertical="center"/>
    </xf>
    <xf numFmtId="3" fontId="27" fillId="0" borderId="46" xfId="0" applyNumberFormat="1" applyFont="1" applyBorder="1" applyAlignment="1">
      <alignment horizontal="center" vertical="center"/>
    </xf>
    <xf numFmtId="3" fontId="27" fillId="0" borderId="41" xfId="0" applyNumberFormat="1" applyFont="1" applyBorder="1" applyAlignment="1">
      <alignment horizontal="center" vertical="center"/>
    </xf>
    <xf numFmtId="3" fontId="27" fillId="0" borderId="42" xfId="0" applyNumberFormat="1" applyFont="1" applyBorder="1" applyAlignment="1">
      <alignment horizontal="center" vertical="center"/>
    </xf>
    <xf numFmtId="0" fontId="28" fillId="0" borderId="13" xfId="0" applyFont="1" applyBorder="1" applyAlignment="1">
      <alignment horizontal="center" vertical="center" wrapText="1"/>
    </xf>
    <xf numFmtId="0" fontId="28" fillId="0" borderId="37" xfId="0" applyFont="1" applyBorder="1" applyAlignment="1">
      <alignment horizontal="center" vertical="center" wrapText="1"/>
    </xf>
    <xf numFmtId="166" fontId="24" fillId="0" borderId="41" xfId="0" applyNumberFormat="1" applyFont="1" applyBorder="1" applyAlignment="1">
      <alignment horizontal="center" vertical="center"/>
    </xf>
    <xf numFmtId="0" fontId="30" fillId="0" borderId="43" xfId="0" applyFont="1" applyBorder="1" applyAlignment="1">
      <alignment horizontal="center" vertical="center" wrapText="1"/>
    </xf>
    <xf numFmtId="0" fontId="24" fillId="0" borderId="44" xfId="0" applyFont="1" applyBorder="1" applyAlignment="1">
      <alignment horizontal="center" vertical="center" wrapText="1"/>
    </xf>
    <xf numFmtId="0" fontId="24" fillId="0" borderId="45" xfId="0" applyFont="1" applyBorder="1" applyAlignment="1">
      <alignment horizontal="center" vertical="center" wrapText="1"/>
    </xf>
    <xf numFmtId="0" fontId="24" fillId="0" borderId="39" xfId="0" applyFont="1" applyBorder="1" applyAlignment="1">
      <alignment horizontal="center" vertical="center" wrapText="1"/>
    </xf>
    <xf numFmtId="0" fontId="24" fillId="0" borderId="40" xfId="0" applyFont="1" applyBorder="1" applyAlignment="1">
      <alignment horizontal="center" vertical="center" wrapText="1"/>
    </xf>
    <xf numFmtId="0" fontId="28" fillId="0" borderId="43" xfId="0" applyFont="1" applyBorder="1" applyAlignment="1">
      <alignment horizontal="center" vertical="center" wrapText="1"/>
    </xf>
    <xf numFmtId="0" fontId="28" fillId="0" borderId="45" xfId="0" applyFont="1" applyBorder="1" applyAlignment="1">
      <alignment horizontal="center" vertical="center" wrapText="1"/>
    </xf>
    <xf numFmtId="3" fontId="24" fillId="18" borderId="2" xfId="0" applyNumberFormat="1" applyFont="1" applyFill="1" applyBorder="1" applyAlignment="1">
      <alignment horizontal="center" vertical="center"/>
    </xf>
    <xf numFmtId="3" fontId="27" fillId="18" borderId="41" xfId="0" applyNumberFormat="1" applyFont="1" applyFill="1" applyBorder="1" applyAlignment="1">
      <alignment horizontal="center" vertical="center"/>
    </xf>
    <xf numFmtId="3" fontId="27" fillId="18" borderId="42" xfId="0" applyNumberFormat="1" applyFont="1" applyFill="1" applyBorder="1" applyAlignment="1">
      <alignment horizontal="center" vertical="center"/>
    </xf>
    <xf numFmtId="0" fontId="28" fillId="0" borderId="48" xfId="0" applyFont="1" applyBorder="1" applyAlignment="1">
      <alignment horizontal="center" vertical="center" wrapText="1"/>
    </xf>
    <xf numFmtId="0" fontId="28" fillId="0" borderId="50" xfId="0" applyFont="1" applyBorder="1" applyAlignment="1">
      <alignment horizontal="center" vertical="center" wrapText="1"/>
    </xf>
    <xf numFmtId="0" fontId="30" fillId="19" borderId="59" xfId="0" applyFont="1" applyFill="1" applyBorder="1" applyAlignment="1">
      <alignment horizontal="left" vertical="center" wrapText="1"/>
    </xf>
    <xf numFmtId="0" fontId="24" fillId="19" borderId="60" xfId="0" applyFont="1" applyFill="1" applyBorder="1" applyAlignment="1">
      <alignment horizontal="left" vertical="center" wrapText="1"/>
    </xf>
    <xf numFmtId="0" fontId="23" fillId="15" borderId="3" xfId="0" applyFont="1" applyFill="1" applyBorder="1" applyAlignment="1">
      <alignment horizontal="center" vertical="center"/>
    </xf>
    <xf numFmtId="0" fontId="23" fillId="15" borderId="36" xfId="0" applyFont="1" applyFill="1" applyBorder="1" applyAlignment="1">
      <alignment horizontal="center" vertical="center"/>
    </xf>
    <xf numFmtId="0" fontId="23" fillId="15" borderId="5" xfId="0" applyFont="1" applyFill="1" applyBorder="1" applyAlignment="1">
      <alignment horizontal="center" vertical="center"/>
    </xf>
    <xf numFmtId="3" fontId="27" fillId="0" borderId="13" xfId="0" applyNumberFormat="1" applyFont="1" applyBorder="1" applyAlignment="1">
      <alignment horizontal="center" vertical="center"/>
    </xf>
    <xf numFmtId="3" fontId="27" fillId="0" borderId="17" xfId="0" applyNumberFormat="1" applyFont="1" applyBorder="1" applyAlignment="1">
      <alignment horizontal="center" vertical="center"/>
    </xf>
    <xf numFmtId="3" fontId="27" fillId="0" borderId="37" xfId="0" applyNumberFormat="1" applyFont="1" applyBorder="1" applyAlignment="1">
      <alignment horizontal="center" vertical="center"/>
    </xf>
    <xf numFmtId="0" fontId="24" fillId="0" borderId="14" xfId="0" applyFont="1" applyBorder="1" applyAlignment="1">
      <alignment horizontal="center" vertical="center" wrapText="1"/>
    </xf>
    <xf numFmtId="3" fontId="24" fillId="0" borderId="14" xfId="0" applyNumberFormat="1" applyFont="1" applyBorder="1" applyAlignment="1">
      <alignment horizontal="center" vertical="center" wrapText="1"/>
    </xf>
    <xf numFmtId="0" fontId="24" fillId="0" borderId="3" xfId="0" applyFont="1" applyBorder="1" applyAlignment="1">
      <alignment horizontal="center" vertical="center" wrapText="1"/>
    </xf>
    <xf numFmtId="3" fontId="27" fillId="0" borderId="14" xfId="0" applyNumberFormat="1" applyFont="1" applyBorder="1" applyAlignment="1">
      <alignment horizontal="center" vertical="center"/>
    </xf>
    <xf numFmtId="3" fontId="27" fillId="0" borderId="39" xfId="0" applyNumberFormat="1" applyFont="1" applyBorder="1" applyAlignment="1">
      <alignment horizontal="center" vertical="center"/>
    </xf>
    <xf numFmtId="3" fontId="27" fillId="0" borderId="40" xfId="0" applyNumberFormat="1" applyFont="1" applyBorder="1" applyAlignment="1">
      <alignment horizontal="center" vertical="center"/>
    </xf>
    <xf numFmtId="0" fontId="24" fillId="0" borderId="5" xfId="0" applyFont="1" applyBorder="1" applyAlignment="1">
      <alignment horizontal="center" vertical="center" wrapText="1"/>
    </xf>
    <xf numFmtId="166" fontId="24" fillId="0" borderId="13" xfId="0" applyNumberFormat="1" applyFont="1" applyBorder="1" applyAlignment="1">
      <alignment horizontal="center" vertical="center" wrapText="1"/>
    </xf>
    <xf numFmtId="166" fontId="24" fillId="0" borderId="37" xfId="0" applyNumberFormat="1" applyFont="1" applyBorder="1" applyAlignment="1">
      <alignment horizontal="center" vertical="center" wrapText="1"/>
    </xf>
    <xf numFmtId="166" fontId="24" fillId="0" borderId="38" xfId="0" applyNumberFormat="1" applyFont="1" applyBorder="1" applyAlignment="1">
      <alignment horizontal="center" vertical="center"/>
    </xf>
    <xf numFmtId="0" fontId="24" fillId="0" borderId="46" xfId="0" applyFont="1" applyBorder="1" applyAlignment="1">
      <alignment horizontal="center" vertical="center" wrapText="1"/>
    </xf>
    <xf numFmtId="0" fontId="24" fillId="0" borderId="42" xfId="0" applyFont="1" applyBorder="1" applyAlignment="1">
      <alignment horizontal="center" vertical="center" wrapText="1"/>
    </xf>
    <xf numFmtId="0" fontId="28" fillId="0" borderId="14" xfId="0" applyFont="1" applyBorder="1" applyAlignment="1">
      <alignment horizontal="center" vertical="center" wrapText="1"/>
    </xf>
    <xf numFmtId="0" fontId="28" fillId="0" borderId="40" xfId="0" applyFont="1" applyBorder="1" applyAlignment="1">
      <alignment horizontal="center" vertical="center" wrapText="1"/>
    </xf>
    <xf numFmtId="0" fontId="28" fillId="0" borderId="46" xfId="0" applyFont="1" applyBorder="1" applyAlignment="1">
      <alignment horizontal="center" vertical="center" wrapText="1"/>
    </xf>
    <xf numFmtId="0" fontId="28" fillId="0" borderId="42" xfId="0" applyFont="1" applyBorder="1" applyAlignment="1">
      <alignment horizontal="center" vertical="center" wrapText="1"/>
    </xf>
    <xf numFmtId="166" fontId="28" fillId="0" borderId="13" xfId="0" applyNumberFormat="1" applyFont="1" applyBorder="1" applyAlignment="1">
      <alignment horizontal="center" vertical="center" wrapText="1"/>
    </xf>
    <xf numFmtId="166" fontId="28" fillId="0" borderId="37" xfId="0" applyNumberFormat="1" applyFont="1" applyBorder="1" applyAlignment="1">
      <alignment horizontal="center" vertical="center" wrapText="1"/>
    </xf>
    <xf numFmtId="3" fontId="27" fillId="0" borderId="38" xfId="0" applyNumberFormat="1" applyFont="1" applyBorder="1" applyAlignment="1">
      <alignment horizontal="center" vertical="center"/>
    </xf>
    <xf numFmtId="0" fontId="27" fillId="0" borderId="41" xfId="0" applyFont="1" applyBorder="1" applyAlignment="1">
      <alignment horizontal="center" vertical="center" wrapText="1"/>
    </xf>
    <xf numFmtId="0" fontId="27" fillId="0" borderId="42" xfId="0" applyFont="1" applyBorder="1" applyAlignment="1">
      <alignment horizontal="center" vertical="center" wrapText="1"/>
    </xf>
    <xf numFmtId="166" fontId="27" fillId="0" borderId="17" xfId="0" applyNumberFormat="1" applyFont="1" applyBorder="1" applyAlignment="1">
      <alignment horizontal="center" vertical="center" wrapText="1"/>
    </xf>
    <xf numFmtId="166" fontId="27" fillId="0" borderId="37" xfId="0" applyNumberFormat="1" applyFont="1" applyBorder="1" applyAlignment="1">
      <alignment horizontal="center" vertical="center" wrapText="1"/>
    </xf>
    <xf numFmtId="166" fontId="27" fillId="0" borderId="47" xfId="2" applyNumberFormat="1" applyFont="1" applyBorder="1" applyAlignment="1">
      <alignment horizontal="center" vertical="center"/>
    </xf>
    <xf numFmtId="0" fontId="27" fillId="0" borderId="43" xfId="0" applyFont="1" applyBorder="1" applyAlignment="1">
      <alignment horizontal="center" vertical="center" wrapText="1"/>
    </xf>
    <xf numFmtId="0" fontId="27" fillId="0" borderId="44" xfId="0" applyFont="1" applyBorder="1" applyAlignment="1">
      <alignment horizontal="center" vertical="center" wrapText="1"/>
    </xf>
    <xf numFmtId="0" fontId="27" fillId="0" borderId="45" xfId="0" applyFont="1" applyBorder="1" applyAlignment="1">
      <alignment horizontal="center" vertical="center" wrapText="1"/>
    </xf>
    <xf numFmtId="0" fontId="27" fillId="0" borderId="107" xfId="0" applyFont="1" applyBorder="1" applyAlignment="1">
      <alignment horizontal="center" vertical="center" wrapText="1"/>
    </xf>
    <xf numFmtId="0" fontId="27" fillId="0" borderId="54" xfId="0" applyFont="1" applyBorder="1" applyAlignment="1">
      <alignment horizontal="center" vertical="center" wrapText="1"/>
    </xf>
    <xf numFmtId="0" fontId="27" fillId="0" borderId="108" xfId="0" applyFont="1" applyBorder="1" applyAlignment="1">
      <alignment horizontal="center" vertical="center" wrapText="1"/>
    </xf>
    <xf numFmtId="0" fontId="27" fillId="0" borderId="14" xfId="0" applyFont="1" applyBorder="1" applyAlignment="1">
      <alignment horizontal="center" vertical="center" wrapText="1"/>
    </xf>
    <xf numFmtId="0" fontId="27" fillId="0" borderId="39" xfId="0" applyFont="1" applyBorder="1" applyAlignment="1">
      <alignment horizontal="center" vertical="center" wrapText="1"/>
    </xf>
    <xf numFmtId="0" fontId="27" fillId="0" borderId="40" xfId="0" applyFont="1" applyBorder="1" applyAlignment="1">
      <alignment horizontal="center" vertical="center" wrapText="1"/>
    </xf>
    <xf numFmtId="0" fontId="75" fillId="0" borderId="9" xfId="0" applyFont="1" applyBorder="1" applyAlignment="1">
      <alignment wrapText="1"/>
    </xf>
    <xf numFmtId="0" fontId="75" fillId="0" borderId="10" xfId="0" applyFont="1" applyBorder="1" applyAlignment="1">
      <alignment wrapText="1"/>
    </xf>
    <xf numFmtId="0" fontId="75" fillId="0" borderId="62" xfId="0" applyFont="1" applyBorder="1" applyAlignment="1">
      <alignment wrapText="1"/>
    </xf>
    <xf numFmtId="0" fontId="72" fillId="40" borderId="112" xfId="0" applyFont="1" applyFill="1" applyBorder="1" applyAlignment="1">
      <alignment wrapText="1"/>
    </xf>
    <xf numFmtId="0" fontId="72" fillId="40" borderId="98" xfId="0" applyFont="1" applyFill="1" applyBorder="1" applyAlignment="1">
      <alignment wrapText="1"/>
    </xf>
    <xf numFmtId="0" fontId="72" fillId="40" borderId="97" xfId="0" applyFont="1" applyFill="1" applyBorder="1" applyAlignment="1">
      <alignment wrapText="1"/>
    </xf>
    <xf numFmtId="0" fontId="73" fillId="40" borderId="98" xfId="0" applyFont="1" applyFill="1" applyBorder="1" applyAlignment="1">
      <alignment wrapText="1"/>
    </xf>
    <xf numFmtId="0" fontId="73" fillId="40" borderId="97" xfId="0" applyFont="1" applyFill="1" applyBorder="1" applyAlignment="1">
      <alignment wrapText="1"/>
    </xf>
    <xf numFmtId="0" fontId="72" fillId="0" borderId="109" xfId="0" applyFont="1" applyBorder="1" applyAlignment="1">
      <alignment wrapText="1"/>
    </xf>
    <xf numFmtId="0" fontId="72" fillId="0" borderId="110" xfId="0" applyFont="1" applyBorder="1" applyAlignment="1">
      <alignment wrapText="1"/>
    </xf>
    <xf numFmtId="0" fontId="72" fillId="0" borderId="111" xfId="0" applyFont="1" applyBorder="1" applyAlignment="1">
      <alignment wrapText="1"/>
    </xf>
    <xf numFmtId="0" fontId="72" fillId="0" borderId="9" xfId="0" applyFont="1" applyBorder="1" applyAlignment="1">
      <alignment wrapText="1"/>
    </xf>
    <xf numFmtId="0" fontId="72" fillId="0" borderId="10" xfId="0" applyFont="1" applyBorder="1" applyAlignment="1">
      <alignment wrapText="1"/>
    </xf>
    <xf numFmtId="0" fontId="72" fillId="0" borderId="62" xfId="0" applyFont="1" applyBorder="1" applyAlignment="1">
      <alignment wrapText="1"/>
    </xf>
    <xf numFmtId="0" fontId="72" fillId="0" borderId="24" xfId="0" applyFont="1" applyBorder="1" applyAlignment="1">
      <alignment wrapText="1"/>
    </xf>
    <xf numFmtId="0" fontId="72" fillId="40" borderId="9" xfId="0" applyFont="1" applyFill="1" applyBorder="1" applyAlignment="1">
      <alignment wrapText="1"/>
    </xf>
    <xf numFmtId="0" fontId="72" fillId="40" borderId="10" xfId="0" applyFont="1" applyFill="1" applyBorder="1" applyAlignment="1">
      <alignment wrapText="1"/>
    </xf>
    <xf numFmtId="0" fontId="72" fillId="40" borderId="62" xfId="0" applyFont="1" applyFill="1" applyBorder="1" applyAlignment="1">
      <alignment wrapText="1"/>
    </xf>
    <xf numFmtId="0" fontId="73" fillId="40" borderId="10" xfId="0" applyFont="1" applyFill="1" applyBorder="1" applyAlignment="1">
      <alignment wrapText="1"/>
    </xf>
    <xf numFmtId="0" fontId="73" fillId="40" borderId="62" xfId="0" applyFont="1" applyFill="1" applyBorder="1" applyAlignment="1">
      <alignment wrapText="1"/>
    </xf>
    <xf numFmtId="0" fontId="72" fillId="0" borderId="115" xfId="0" applyFont="1" applyBorder="1" applyAlignment="1">
      <alignment wrapText="1"/>
    </xf>
    <xf numFmtId="0" fontId="72" fillId="0" borderId="114" xfId="0" applyFont="1" applyBorder="1" applyAlignment="1">
      <alignment wrapText="1"/>
    </xf>
    <xf numFmtId="0" fontId="73" fillId="41" borderId="9" xfId="0" applyFont="1" applyFill="1" applyBorder="1" applyAlignment="1">
      <alignment wrapText="1"/>
    </xf>
    <xf numFmtId="0" fontId="73" fillId="41" borderId="10" xfId="0" applyFont="1" applyFill="1" applyBorder="1" applyAlignment="1">
      <alignment wrapText="1"/>
    </xf>
    <xf numFmtId="0" fontId="73" fillId="41" borderId="62" xfId="0" applyFont="1" applyFill="1" applyBorder="1" applyAlignment="1">
      <alignment wrapText="1"/>
    </xf>
    <xf numFmtId="0" fontId="72" fillId="24" borderId="10" xfId="0" applyFont="1" applyFill="1" applyBorder="1" applyAlignment="1">
      <alignment wrapText="1"/>
    </xf>
    <xf numFmtId="0" fontId="73" fillId="40" borderId="109" xfId="0" applyFont="1" applyFill="1" applyBorder="1" applyAlignment="1">
      <alignment wrapText="1"/>
    </xf>
    <xf numFmtId="0" fontId="73" fillId="40" borderId="110" xfId="0" applyFont="1" applyFill="1" applyBorder="1" applyAlignment="1">
      <alignment wrapText="1"/>
    </xf>
    <xf numFmtId="0" fontId="73" fillId="40" borderId="111" xfId="0" applyFont="1" applyFill="1" applyBorder="1" applyAlignment="1">
      <alignment wrapText="1"/>
    </xf>
    <xf numFmtId="1" fontId="28" fillId="0" borderId="38" xfId="2" applyNumberFormat="1" applyFont="1" applyBorder="1" applyAlignment="1">
      <alignment horizontal="center" vertical="center"/>
    </xf>
    <xf numFmtId="166" fontId="28" fillId="0" borderId="38" xfId="2" applyNumberFormat="1" applyFont="1" applyBorder="1" applyAlignment="1">
      <alignment horizontal="center" vertical="center"/>
    </xf>
    <xf numFmtId="1" fontId="28" fillId="0" borderId="43" xfId="2" applyNumberFormat="1" applyFont="1" applyBorder="1" applyAlignment="1">
      <alignment horizontal="center" vertical="center"/>
    </xf>
    <xf numFmtId="1" fontId="28" fillId="0" borderId="44" xfId="2" applyNumberFormat="1" applyFont="1" applyBorder="1" applyAlignment="1">
      <alignment horizontal="center" vertical="center"/>
    </xf>
    <xf numFmtId="166" fontId="28" fillId="0" borderId="43" xfId="2" applyNumberFormat="1" applyFont="1" applyBorder="1" applyAlignment="1">
      <alignment horizontal="center" vertical="center"/>
    </xf>
    <xf numFmtId="166" fontId="28" fillId="0" borderId="44" xfId="2" applyNumberFormat="1" applyFont="1" applyBorder="1" applyAlignment="1">
      <alignment horizontal="center" vertical="center"/>
    </xf>
    <xf numFmtId="0" fontId="28" fillId="0" borderId="38" xfId="0" applyFont="1" applyBorder="1" applyAlignment="1">
      <alignment horizontal="center" vertical="center" wrapText="1"/>
    </xf>
    <xf numFmtId="3" fontId="28" fillId="0" borderId="46" xfId="0" applyNumberFormat="1" applyFont="1" applyBorder="1" applyAlignment="1">
      <alignment horizontal="center" vertical="center" wrapText="1"/>
    </xf>
    <xf numFmtId="3" fontId="28" fillId="0" borderId="42" xfId="0" applyNumberFormat="1" applyFont="1" applyBorder="1" applyAlignment="1">
      <alignment horizontal="center" vertical="center" wrapText="1"/>
    </xf>
    <xf numFmtId="166" fontId="28" fillId="0" borderId="47" xfId="2" applyNumberFormat="1" applyFont="1" applyBorder="1" applyAlignment="1">
      <alignment horizontal="center" vertical="center"/>
    </xf>
    <xf numFmtId="1" fontId="28" fillId="0" borderId="43" xfId="0" applyNumberFormat="1" applyFont="1" applyBorder="1" applyAlignment="1">
      <alignment horizontal="center" vertical="center"/>
    </xf>
    <xf numFmtId="1" fontId="28" fillId="0" borderId="45" xfId="0" applyNumberFormat="1" applyFont="1" applyBorder="1" applyAlignment="1">
      <alignment horizontal="center" vertical="center"/>
    </xf>
    <xf numFmtId="166" fontId="28" fillId="0" borderId="43" xfId="0" applyNumberFormat="1" applyFont="1" applyBorder="1" applyAlignment="1">
      <alignment horizontal="center" vertical="center"/>
    </xf>
    <xf numFmtId="166" fontId="28" fillId="0" borderId="45" xfId="0" applyNumberFormat="1" applyFont="1" applyBorder="1" applyAlignment="1">
      <alignment horizontal="center" vertical="center"/>
    </xf>
    <xf numFmtId="1" fontId="28" fillId="0" borderId="45" xfId="2" applyNumberFormat="1" applyFont="1" applyBorder="1" applyAlignment="1">
      <alignment horizontal="center" vertical="center"/>
    </xf>
    <xf numFmtId="166" fontId="28" fillId="0" borderId="45" xfId="2" applyNumberFormat="1" applyFont="1" applyBorder="1" applyAlignment="1">
      <alignment horizontal="center" vertical="center"/>
    </xf>
    <xf numFmtId="0" fontId="37" fillId="0" borderId="48" xfId="0" applyFont="1" applyBorder="1" applyAlignment="1">
      <alignment horizontal="center" vertical="center" wrapText="1"/>
    </xf>
    <xf numFmtId="0" fontId="28" fillId="0" borderId="65" xfId="0" applyFont="1" applyBorder="1" applyAlignment="1">
      <alignment horizontal="center" vertical="center" wrapText="1"/>
    </xf>
    <xf numFmtId="166" fontId="28" fillId="0" borderId="38" xfId="0" applyNumberFormat="1" applyFont="1" applyBorder="1" applyAlignment="1">
      <alignment horizontal="center" vertical="center"/>
    </xf>
    <xf numFmtId="0" fontId="28" fillId="8" borderId="45" xfId="0" applyFont="1" applyFill="1" applyBorder="1" applyAlignment="1">
      <alignment horizontal="center" vertical="center" wrapText="1"/>
    </xf>
    <xf numFmtId="0" fontId="28" fillId="8" borderId="38" xfId="0" applyFont="1" applyFill="1" applyBorder="1" applyAlignment="1">
      <alignment horizontal="center" vertical="center" wrapText="1"/>
    </xf>
    <xf numFmtId="0" fontId="28" fillId="8" borderId="48" xfId="0" applyFont="1" applyFill="1" applyBorder="1" applyAlignment="1">
      <alignment horizontal="center" vertical="center" wrapText="1"/>
    </xf>
    <xf numFmtId="0" fontId="28" fillId="8" borderId="65" xfId="0" applyFont="1" applyFill="1" applyBorder="1" applyAlignment="1">
      <alignment horizontal="center" vertical="center" wrapText="1"/>
    </xf>
    <xf numFmtId="0" fontId="28" fillId="8" borderId="50" xfId="0" applyFont="1" applyFill="1" applyBorder="1" applyAlignment="1">
      <alignment horizontal="center" vertical="center" wrapText="1"/>
    </xf>
    <xf numFmtId="0" fontId="28" fillId="8" borderId="102" xfId="0" applyFont="1" applyFill="1" applyBorder="1" applyAlignment="1">
      <alignment horizontal="center" vertical="center" wrapText="1"/>
    </xf>
    <xf numFmtId="3" fontId="28" fillId="8" borderId="104" xfId="0" applyNumberFormat="1" applyFont="1" applyFill="1" applyBorder="1" applyAlignment="1">
      <alignment horizontal="center" vertical="center" wrapText="1"/>
    </xf>
    <xf numFmtId="3" fontId="28" fillId="8" borderId="66" xfId="0" applyNumberFormat="1" applyFont="1" applyFill="1" applyBorder="1" applyAlignment="1">
      <alignment horizontal="center" vertical="center" wrapText="1"/>
    </xf>
    <xf numFmtId="0" fontId="28" fillId="8" borderId="43" xfId="0" applyFont="1" applyFill="1" applyBorder="1" applyAlignment="1">
      <alignment horizontal="center" vertical="center" wrapText="1"/>
    </xf>
    <xf numFmtId="0" fontId="28" fillId="8" borderId="44" xfId="0" applyFont="1" applyFill="1" applyBorder="1" applyAlignment="1">
      <alignment horizontal="center" vertical="center" wrapText="1"/>
    </xf>
    <xf numFmtId="0" fontId="28" fillId="8" borderId="103" xfId="0" applyFont="1" applyFill="1" applyBorder="1" applyAlignment="1">
      <alignment horizontal="center" vertical="center" wrapText="1"/>
    </xf>
    <xf numFmtId="3" fontId="28" fillId="8" borderId="105" xfId="0" applyNumberFormat="1" applyFont="1" applyFill="1" applyBorder="1" applyAlignment="1">
      <alignment horizontal="center" vertical="center" wrapText="1"/>
    </xf>
    <xf numFmtId="3" fontId="28" fillId="8" borderId="25" xfId="0" applyNumberFormat="1" applyFont="1" applyFill="1" applyBorder="1" applyAlignment="1">
      <alignment horizontal="center" vertical="center" wrapText="1"/>
    </xf>
    <xf numFmtId="3" fontId="28" fillId="8" borderId="0" xfId="0" applyNumberFormat="1" applyFont="1" applyFill="1" applyAlignment="1">
      <alignment horizontal="center" vertical="center" wrapText="1"/>
    </xf>
    <xf numFmtId="3" fontId="28" fillId="8" borderId="4" xfId="0" applyNumberFormat="1" applyFont="1" applyFill="1" applyBorder="1" applyAlignment="1">
      <alignment horizontal="center" vertical="center" wrapText="1"/>
    </xf>
    <xf numFmtId="166" fontId="28" fillId="0" borderId="43" xfId="0" applyNumberFormat="1" applyFont="1" applyBorder="1" applyAlignment="1">
      <alignment horizontal="center"/>
    </xf>
    <xf numFmtId="166" fontId="28" fillId="0" borderId="45" xfId="0" applyNumberFormat="1" applyFont="1" applyBorder="1" applyAlignment="1">
      <alignment horizontal="center"/>
    </xf>
    <xf numFmtId="1" fontId="28" fillId="0" borderId="43" xfId="0" applyNumberFormat="1" applyFont="1" applyBorder="1" applyAlignment="1">
      <alignment horizontal="center"/>
    </xf>
    <xf numFmtId="1" fontId="28" fillId="0" borderId="45" xfId="0" applyNumberFormat="1" applyFont="1" applyBorder="1" applyAlignment="1">
      <alignment horizontal="center"/>
    </xf>
    <xf numFmtId="0" fontId="28" fillId="0" borderId="43" xfId="0" applyFont="1" applyBorder="1" applyAlignment="1">
      <alignment horizontal="center"/>
    </xf>
    <xf numFmtId="0" fontId="28" fillId="0" borderId="45" xfId="0" applyFont="1" applyBorder="1" applyAlignment="1">
      <alignment horizontal="center"/>
    </xf>
    <xf numFmtId="0" fontId="28" fillId="0" borderId="44" xfId="0" applyFont="1" applyBorder="1" applyAlignment="1">
      <alignment horizontal="center" vertical="center" wrapText="1"/>
    </xf>
    <xf numFmtId="0" fontId="28" fillId="0" borderId="43" xfId="0" applyFont="1" applyBorder="1" applyAlignment="1">
      <alignment horizontal="center" wrapText="1"/>
    </xf>
    <xf numFmtId="0" fontId="28" fillId="0" borderId="44" xfId="0" applyFont="1" applyBorder="1" applyAlignment="1">
      <alignment horizontal="center" wrapText="1"/>
    </xf>
    <xf numFmtId="0" fontId="28" fillId="8" borderId="51" xfId="0" applyFont="1" applyFill="1" applyBorder="1" applyAlignment="1">
      <alignment horizontal="center" vertical="center" wrapText="1"/>
    </xf>
    <xf numFmtId="0" fontId="28" fillId="8" borderId="0" xfId="0" applyFont="1" applyFill="1" applyAlignment="1">
      <alignment horizontal="center" vertical="center" wrapText="1"/>
    </xf>
    <xf numFmtId="0" fontId="28" fillId="8" borderId="4" xfId="0" applyFont="1" applyFill="1" applyBorder="1" applyAlignment="1">
      <alignment horizontal="center" vertical="center" wrapText="1"/>
    </xf>
    <xf numFmtId="0" fontId="28" fillId="0" borderId="17" xfId="0" applyFont="1" applyBorder="1" applyAlignment="1">
      <alignment horizontal="center" vertical="center" wrapText="1"/>
    </xf>
    <xf numFmtId="0" fontId="28" fillId="8" borderId="17" xfId="0" applyFont="1" applyFill="1" applyBorder="1" applyAlignment="1">
      <alignment vertical="center" wrapText="1"/>
    </xf>
    <xf numFmtId="0" fontId="28" fillId="0" borderId="39" xfId="0" applyFont="1" applyBorder="1" applyAlignment="1">
      <alignment horizontal="center" vertical="center" wrapText="1"/>
    </xf>
    <xf numFmtId="0" fontId="28" fillId="0" borderId="47" xfId="0" applyFont="1" applyBorder="1" applyAlignment="1">
      <alignment horizontal="center" vertical="center" wrapText="1"/>
    </xf>
    <xf numFmtId="3" fontId="28" fillId="0" borderId="25" xfId="0" applyNumberFormat="1" applyFont="1" applyBorder="1" applyAlignment="1">
      <alignment horizontal="center" vertical="center" wrapText="1"/>
    </xf>
    <xf numFmtId="3" fontId="28" fillId="0" borderId="0" xfId="0" applyNumberFormat="1" applyFont="1" applyAlignment="1">
      <alignment horizontal="center" vertical="center" wrapText="1"/>
    </xf>
    <xf numFmtId="3" fontId="28" fillId="0" borderId="4" xfId="0" applyNumberFormat="1" applyFont="1" applyBorder="1" applyAlignment="1">
      <alignment horizontal="center" vertical="center" wrapText="1"/>
    </xf>
    <xf numFmtId="1" fontId="28" fillId="0" borderId="65" xfId="0" applyNumberFormat="1" applyFont="1" applyBorder="1" applyAlignment="1">
      <alignment horizontal="center" vertical="center" wrapText="1"/>
    </xf>
    <xf numFmtId="166" fontId="28" fillId="0" borderId="38" xfId="0" applyNumberFormat="1" applyFont="1" applyBorder="1" applyAlignment="1">
      <alignment horizontal="center" vertical="center" wrapText="1"/>
    </xf>
    <xf numFmtId="0" fontId="28" fillId="0" borderId="56" xfId="0" applyFont="1" applyBorder="1" applyAlignment="1">
      <alignment horizontal="center" vertical="center" wrapText="1"/>
    </xf>
    <xf numFmtId="0" fontId="28" fillId="8" borderId="14" xfId="0" applyFont="1" applyFill="1" applyBorder="1" applyAlignment="1">
      <alignment vertical="center" wrapText="1"/>
    </xf>
    <xf numFmtId="0" fontId="28" fillId="8" borderId="39" xfId="0" applyFont="1" applyFill="1" applyBorder="1" applyAlignment="1">
      <alignment vertical="center" wrapText="1"/>
    </xf>
    <xf numFmtId="0" fontId="28" fillId="8" borderId="40" xfId="0" applyFont="1" applyFill="1" applyBorder="1" applyAlignment="1">
      <alignment vertical="center" wrapText="1"/>
    </xf>
    <xf numFmtId="1" fontId="28" fillId="0" borderId="38" xfId="0" applyNumberFormat="1" applyFont="1" applyBorder="1" applyAlignment="1">
      <alignment horizontal="center" vertical="center" wrapText="1"/>
    </xf>
    <xf numFmtId="1" fontId="28" fillId="0" borderId="43" xfId="0" applyNumberFormat="1" applyFont="1" applyBorder="1" applyAlignment="1">
      <alignment horizontal="center" vertical="center" wrapText="1"/>
    </xf>
    <xf numFmtId="1" fontId="28" fillId="0" borderId="44" xfId="0" applyNumberFormat="1" applyFont="1" applyBorder="1" applyAlignment="1">
      <alignment horizontal="center" vertical="center" wrapText="1"/>
    </xf>
    <xf numFmtId="1" fontId="28" fillId="0" borderId="45" xfId="0" applyNumberFormat="1" applyFont="1" applyBorder="1" applyAlignment="1">
      <alignment horizontal="center" vertical="center" wrapText="1"/>
    </xf>
    <xf numFmtId="166" fontId="28" fillId="0" borderId="44" xfId="0" applyNumberFormat="1" applyFont="1" applyBorder="1" applyAlignment="1">
      <alignment horizontal="center" vertical="center" wrapText="1"/>
    </xf>
    <xf numFmtId="166" fontId="28" fillId="0" borderId="45" xfId="0" applyNumberFormat="1" applyFont="1" applyBorder="1" applyAlignment="1">
      <alignment horizontal="center" vertical="center" wrapText="1"/>
    </xf>
    <xf numFmtId="166" fontId="28" fillId="0" borderId="65" xfId="0" applyNumberFormat="1" applyFont="1" applyBorder="1" applyAlignment="1">
      <alignment horizontal="center" vertical="center" wrapText="1"/>
    </xf>
    <xf numFmtId="3" fontId="28" fillId="0" borderId="65" xfId="0" applyNumberFormat="1" applyFont="1" applyBorder="1" applyAlignment="1">
      <alignment horizontal="center" vertical="center" wrapText="1"/>
    </xf>
    <xf numFmtId="3" fontId="28" fillId="0" borderId="103" xfId="0" applyNumberFormat="1" applyFont="1" applyBorder="1" applyAlignment="1">
      <alignment horizontal="center" vertical="center" wrapText="1"/>
    </xf>
    <xf numFmtId="0" fontId="37" fillId="8" borderId="61" xfId="0" applyFont="1" applyFill="1" applyBorder="1" applyAlignment="1">
      <alignment horizontal="left" vertical="center" wrapText="1"/>
    </xf>
    <xf numFmtId="0" fontId="28" fillId="8" borderId="60" xfId="0" applyFont="1" applyFill="1" applyBorder="1" applyAlignment="1">
      <alignment horizontal="left" vertical="center" wrapText="1"/>
    </xf>
    <xf numFmtId="0" fontId="36" fillId="22" borderId="38" xfId="0" applyFont="1" applyFill="1" applyBorder="1" applyAlignment="1">
      <alignment horizontal="center" vertical="center"/>
    </xf>
    <xf numFmtId="0" fontId="36" fillId="22" borderId="38" xfId="0" applyFont="1" applyFill="1" applyBorder="1" applyAlignment="1">
      <alignment horizontal="center" vertical="center" wrapText="1"/>
    </xf>
    <xf numFmtId="14" fontId="35" fillId="33" borderId="51" xfId="0" applyNumberFormat="1" applyFont="1" applyFill="1" applyBorder="1" applyAlignment="1">
      <alignment horizontal="center" vertical="center" wrapText="1"/>
    </xf>
    <xf numFmtId="14" fontId="35" fillId="33" borderId="101" xfId="0" applyNumberFormat="1" applyFont="1" applyFill="1" applyBorder="1" applyAlignment="1">
      <alignment horizontal="center" vertical="center" wrapText="1"/>
    </xf>
    <xf numFmtId="0" fontId="36" fillId="15" borderId="38" xfId="0" applyFont="1" applyFill="1" applyBorder="1" applyAlignment="1">
      <alignment horizontal="center" vertical="center" wrapText="1"/>
    </xf>
    <xf numFmtId="14" fontId="35" fillId="22" borderId="38" xfId="0" applyNumberFormat="1" applyFont="1" applyFill="1" applyBorder="1" applyAlignment="1">
      <alignment horizontal="center" vertical="center" wrapText="1"/>
    </xf>
    <xf numFmtId="0" fontId="35" fillId="22" borderId="38" xfId="0" applyFont="1" applyFill="1" applyBorder="1" applyAlignment="1">
      <alignment horizontal="center" vertical="center" wrapText="1"/>
    </xf>
    <xf numFmtId="14" fontId="35" fillId="17" borderId="48" xfId="0" applyNumberFormat="1" applyFont="1" applyFill="1" applyBorder="1" applyAlignment="1">
      <alignment horizontal="center" vertical="center" wrapText="1"/>
    </xf>
    <xf numFmtId="14" fontId="35" fillId="17" borderId="51" xfId="0" applyNumberFormat="1" applyFont="1" applyFill="1" applyBorder="1" applyAlignment="1">
      <alignment horizontal="center" vertical="center" wrapText="1"/>
    </xf>
    <xf numFmtId="14" fontId="35" fillId="17" borderId="101" xfId="0" applyNumberFormat="1" applyFont="1" applyFill="1" applyBorder="1" applyAlignment="1">
      <alignment horizontal="center" vertical="center" wrapText="1"/>
    </xf>
    <xf numFmtId="14" fontId="35" fillId="19" borderId="48" xfId="0" applyNumberFormat="1" applyFont="1" applyFill="1" applyBorder="1" applyAlignment="1">
      <alignment horizontal="center" vertical="center" wrapText="1"/>
    </xf>
    <xf numFmtId="14" fontId="35" fillId="19" borderId="51" xfId="0" applyNumberFormat="1" applyFont="1" applyFill="1" applyBorder="1" applyAlignment="1">
      <alignment horizontal="center" vertical="center" wrapText="1"/>
    </xf>
    <xf numFmtId="14" fontId="35" fillId="19" borderId="101" xfId="0" applyNumberFormat="1" applyFont="1" applyFill="1" applyBorder="1" applyAlignment="1">
      <alignment horizontal="center" vertical="center" wrapText="1"/>
    </xf>
    <xf numFmtId="0" fontId="62" fillId="16" borderId="50" xfId="0" applyFont="1" applyFill="1" applyBorder="1" applyAlignment="1">
      <alignment horizontal="center" vertical="center"/>
    </xf>
    <xf numFmtId="0" fontId="62" fillId="16" borderId="57" xfId="0" applyFont="1" applyFill="1" applyBorder="1" applyAlignment="1">
      <alignment horizontal="center" vertical="center"/>
    </xf>
    <xf numFmtId="0" fontId="36" fillId="36" borderId="38" xfId="0" applyFont="1" applyFill="1" applyBorder="1" applyAlignment="1">
      <alignment horizontal="center" vertical="center" wrapText="1"/>
    </xf>
    <xf numFmtId="14" fontId="35" fillId="4" borderId="48" xfId="0" applyNumberFormat="1" applyFont="1" applyFill="1" applyBorder="1" applyAlignment="1">
      <alignment horizontal="center" vertical="center" wrapText="1"/>
    </xf>
    <xf numFmtId="14" fontId="35" fillId="4" borderId="51" xfId="0" applyNumberFormat="1" applyFont="1" applyFill="1" applyBorder="1" applyAlignment="1">
      <alignment horizontal="center" vertical="center" wrapText="1"/>
    </xf>
    <xf numFmtId="14" fontId="35" fillId="4" borderId="101" xfId="0" applyNumberFormat="1" applyFont="1" applyFill="1" applyBorder="1" applyAlignment="1">
      <alignment horizontal="center" vertical="center" wrapText="1"/>
    </xf>
    <xf numFmtId="14" fontId="35" fillId="34" borderId="48" xfId="0" applyNumberFormat="1" applyFont="1" applyFill="1" applyBorder="1" applyAlignment="1">
      <alignment horizontal="center" vertical="center" wrapText="1"/>
    </xf>
    <xf numFmtId="14" fontId="35" fillId="34" borderId="51" xfId="0" applyNumberFormat="1" applyFont="1" applyFill="1" applyBorder="1" applyAlignment="1">
      <alignment horizontal="center" vertical="center" wrapText="1"/>
    </xf>
    <xf numFmtId="14" fontId="35" fillId="34" borderId="101" xfId="0" applyNumberFormat="1" applyFont="1" applyFill="1" applyBorder="1" applyAlignment="1">
      <alignment horizontal="center" vertical="center" wrapText="1"/>
    </xf>
    <xf numFmtId="14" fontId="35" fillId="35" borderId="48" xfId="0" applyNumberFormat="1" applyFont="1" applyFill="1" applyBorder="1" applyAlignment="1">
      <alignment horizontal="center" vertical="center" wrapText="1"/>
    </xf>
    <xf numFmtId="14" fontId="35" fillId="35" borderId="51" xfId="0" applyNumberFormat="1" applyFont="1" applyFill="1" applyBorder="1" applyAlignment="1">
      <alignment horizontal="center" vertical="center" wrapText="1"/>
    </xf>
    <xf numFmtId="14" fontId="35" fillId="35" borderId="101" xfId="0" applyNumberFormat="1" applyFont="1" applyFill="1" applyBorder="1" applyAlignment="1">
      <alignment horizontal="center" vertical="center" wrapText="1"/>
    </xf>
    <xf numFmtId="14" fontId="35" fillId="21" borderId="48" xfId="0" applyNumberFormat="1" applyFont="1" applyFill="1" applyBorder="1" applyAlignment="1">
      <alignment horizontal="center" vertical="center" wrapText="1"/>
    </xf>
    <xf numFmtId="14" fontId="35" fillId="21" borderId="51" xfId="0" applyNumberFormat="1" applyFont="1" applyFill="1" applyBorder="1" applyAlignment="1">
      <alignment horizontal="center" vertical="center" wrapText="1"/>
    </xf>
    <xf numFmtId="14" fontId="35" fillId="21" borderId="101" xfId="0" applyNumberFormat="1" applyFont="1" applyFill="1" applyBorder="1" applyAlignment="1">
      <alignment horizontal="center" vertical="center" wrapText="1"/>
    </xf>
    <xf numFmtId="14" fontId="35" fillId="20" borderId="38" xfId="0" applyNumberFormat="1" applyFont="1" applyFill="1" applyBorder="1" applyAlignment="1">
      <alignment horizontal="center" vertical="center" wrapText="1"/>
    </xf>
    <xf numFmtId="3" fontId="28" fillId="8" borderId="57" xfId="0" applyNumberFormat="1" applyFont="1" applyFill="1" applyBorder="1" applyAlignment="1">
      <alignment horizontal="center" vertical="center" wrapText="1"/>
    </xf>
    <xf numFmtId="3" fontId="28" fillId="0" borderId="38" xfId="0" applyNumberFormat="1" applyFont="1" applyBorder="1" applyAlignment="1">
      <alignment horizontal="center" vertical="center" wrapText="1"/>
    </xf>
    <xf numFmtId="166" fontId="28" fillId="0" borderId="44" xfId="0" applyNumberFormat="1" applyFont="1" applyBorder="1" applyAlignment="1">
      <alignment horizontal="center" vertical="center"/>
    </xf>
    <xf numFmtId="3" fontId="28" fillId="0" borderId="43" xfId="0" applyNumberFormat="1" applyFont="1" applyBorder="1" applyAlignment="1">
      <alignment horizontal="center" vertical="center" wrapText="1"/>
    </xf>
    <xf numFmtId="3" fontId="28" fillId="0" borderId="44" xfId="0" applyNumberFormat="1" applyFont="1" applyBorder="1" applyAlignment="1">
      <alignment horizontal="center" vertical="center" wrapText="1"/>
    </xf>
    <xf numFmtId="3" fontId="28" fillId="0" borderId="45" xfId="0" applyNumberFormat="1" applyFont="1" applyBorder="1" applyAlignment="1">
      <alignment horizontal="center" vertical="center" wrapText="1"/>
    </xf>
    <xf numFmtId="1" fontId="28" fillId="0" borderId="44" xfId="0" applyNumberFormat="1" applyFont="1" applyBorder="1" applyAlignment="1">
      <alignment horizontal="center" vertical="center"/>
    </xf>
    <xf numFmtId="3" fontId="28" fillId="0" borderId="48" xfId="0" applyNumberFormat="1" applyFont="1" applyBorder="1" applyAlignment="1">
      <alignment horizontal="center" vertical="center" wrapText="1"/>
    </xf>
    <xf numFmtId="3" fontId="28" fillId="0" borderId="50" xfId="0" applyNumberFormat="1" applyFont="1" applyBorder="1" applyAlignment="1">
      <alignment horizontal="center" vertical="center" wrapText="1"/>
    </xf>
    <xf numFmtId="3" fontId="28" fillId="0" borderId="52" xfId="0" applyNumberFormat="1" applyFont="1" applyBorder="1" applyAlignment="1">
      <alignment horizontal="center" vertical="center" wrapText="1"/>
    </xf>
    <xf numFmtId="3" fontId="28" fillId="0" borderId="54" xfId="0" applyNumberFormat="1" applyFont="1" applyBorder="1" applyAlignment="1">
      <alignment horizontal="center" vertical="center" wrapText="1"/>
    </xf>
    <xf numFmtId="3" fontId="28" fillId="0" borderId="53" xfId="0" applyNumberFormat="1" applyFont="1" applyBorder="1" applyAlignment="1">
      <alignment horizontal="center" vertical="center" wrapText="1"/>
    </xf>
    <xf numFmtId="0" fontId="28" fillId="0" borderId="118" xfId="0" applyFont="1" applyBorder="1" applyAlignment="1">
      <alignment horizontal="center" vertical="center" wrapText="1"/>
    </xf>
    <xf numFmtId="0" fontId="28" fillId="0" borderId="61" xfId="0" applyFont="1" applyBorder="1" applyAlignment="1">
      <alignment horizontal="center" vertical="center" wrapText="1"/>
    </xf>
    <xf numFmtId="0" fontId="28" fillId="0" borderId="119" xfId="0" applyFont="1" applyBorder="1" applyAlignment="1">
      <alignment horizontal="center" vertical="center" wrapText="1"/>
    </xf>
    <xf numFmtId="166" fontId="28" fillId="0" borderId="101" xfId="2" applyNumberFormat="1" applyFont="1" applyBorder="1" applyAlignment="1">
      <alignment horizontal="center" vertical="center"/>
    </xf>
    <xf numFmtId="166" fontId="28" fillId="0" borderId="66" xfId="2" applyNumberFormat="1" applyFont="1" applyBorder="1" applyAlignment="1">
      <alignment horizontal="center" vertical="center"/>
    </xf>
    <xf numFmtId="166" fontId="28" fillId="0" borderId="64" xfId="2" applyNumberFormat="1" applyFont="1" applyBorder="1" applyAlignment="1">
      <alignment horizontal="center" vertical="center"/>
    </xf>
    <xf numFmtId="14" fontId="35" fillId="33" borderId="47" xfId="0" applyNumberFormat="1" applyFont="1" applyFill="1" applyBorder="1" applyAlignment="1">
      <alignment horizontal="center" vertical="center" wrapText="1"/>
    </xf>
    <xf numFmtId="14" fontId="35" fillId="33" borderId="49" xfId="0" applyNumberFormat="1" applyFont="1" applyFill="1" applyBorder="1" applyAlignment="1">
      <alignment horizontal="center" vertical="center" wrapText="1"/>
    </xf>
    <xf numFmtId="14" fontId="35" fillId="33" borderId="58" xfId="0" applyNumberFormat="1" applyFont="1" applyFill="1" applyBorder="1" applyAlignment="1">
      <alignment horizontal="center" vertical="center" wrapText="1"/>
    </xf>
    <xf numFmtId="14" fontId="35" fillId="20" borderId="0" xfId="0" applyNumberFormat="1" applyFont="1" applyFill="1" applyAlignment="1">
      <alignment horizontal="center" vertical="center" wrapText="1"/>
    </xf>
    <xf numFmtId="14" fontId="35" fillId="20" borderId="4" xfId="0" applyNumberFormat="1" applyFont="1" applyFill="1" applyBorder="1" applyAlignment="1">
      <alignment horizontal="center" vertical="center" wrapText="1"/>
    </xf>
    <xf numFmtId="0" fontId="43" fillId="0" borderId="3" xfId="0" applyFont="1" applyBorder="1" applyAlignment="1">
      <alignment wrapText="1"/>
    </xf>
    <xf numFmtId="0" fontId="43" fillId="0" borderId="36" xfId="0" applyFont="1" applyBorder="1" applyAlignment="1">
      <alignment wrapText="1"/>
    </xf>
    <xf numFmtId="0" fontId="43" fillId="0" borderId="5" xfId="0" applyFont="1" applyBorder="1" applyAlignment="1">
      <alignment wrapText="1"/>
    </xf>
    <xf numFmtId="0" fontId="32" fillId="0" borderId="9" xfId="0" applyFont="1" applyBorder="1" applyAlignment="1">
      <alignment wrapText="1"/>
    </xf>
    <xf numFmtId="0" fontId="32" fillId="0" borderId="62" xfId="0" applyFont="1" applyBorder="1" applyAlignment="1">
      <alignment wrapText="1"/>
    </xf>
    <xf numFmtId="0" fontId="32" fillId="0" borderId="9" xfId="0" applyFont="1" applyBorder="1" applyAlignment="1">
      <alignment horizontal="center" wrapText="1"/>
    </xf>
    <xf numFmtId="0" fontId="32" fillId="0" borderId="10" xfId="0" applyFont="1" applyBorder="1" applyAlignment="1">
      <alignment horizontal="center" wrapText="1"/>
    </xf>
    <xf numFmtId="0" fontId="32" fillId="0" borderId="62" xfId="0" applyFont="1" applyBorder="1" applyAlignment="1">
      <alignment horizontal="center" wrapText="1"/>
    </xf>
    <xf numFmtId="0" fontId="41" fillId="24" borderId="0" xfId="0" applyFont="1" applyFill="1" applyAlignment="1">
      <alignment wrapText="1"/>
    </xf>
    <xf numFmtId="0" fontId="41" fillId="24" borderId="71" xfId="0" applyFont="1" applyFill="1" applyBorder="1" applyAlignment="1">
      <alignment wrapText="1"/>
    </xf>
    <xf numFmtId="0" fontId="38" fillId="26" borderId="16" xfId="0" applyFont="1" applyFill="1" applyBorder="1" applyAlignment="1">
      <alignment wrapText="1"/>
    </xf>
    <xf numFmtId="0" fontId="38" fillId="26" borderId="63" xfId="0" applyFont="1" applyFill="1" applyBorder="1" applyAlignment="1">
      <alignment wrapText="1"/>
    </xf>
    <xf numFmtId="0" fontId="38" fillId="26" borderId="9" xfId="0" applyFont="1" applyFill="1" applyBorder="1" applyAlignment="1">
      <alignment wrapText="1"/>
    </xf>
    <xf numFmtId="0" fontId="38" fillId="26" borderId="10" xfId="0" applyFont="1" applyFill="1" applyBorder="1" applyAlignment="1">
      <alignment wrapText="1"/>
    </xf>
    <xf numFmtId="0" fontId="38" fillId="26" borderId="62" xfId="0" applyFont="1" applyFill="1" applyBorder="1" applyAlignment="1">
      <alignment wrapText="1"/>
    </xf>
    <xf numFmtId="0" fontId="38" fillId="24" borderId="0" xfId="0" applyFont="1" applyFill="1" applyAlignment="1">
      <alignment wrapText="1"/>
    </xf>
    <xf numFmtId="0" fontId="38" fillId="24" borderId="71" xfId="0" applyFont="1" applyFill="1" applyBorder="1" applyAlignment="1">
      <alignment wrapText="1"/>
    </xf>
    <xf numFmtId="0" fontId="38" fillId="26" borderId="32" xfId="0" applyFont="1" applyFill="1" applyBorder="1" applyAlignment="1">
      <alignment wrapText="1"/>
    </xf>
    <xf numFmtId="0" fontId="38" fillId="26" borderId="95" xfId="0" applyFont="1" applyFill="1" applyBorder="1" applyAlignment="1">
      <alignment wrapText="1"/>
    </xf>
    <xf numFmtId="0" fontId="38" fillId="26" borderId="96" xfId="0" applyFont="1" applyFill="1" applyBorder="1" applyAlignment="1">
      <alignment wrapText="1"/>
    </xf>
    <xf numFmtId="0" fontId="38" fillId="26" borderId="97" xfId="0" applyFont="1" applyFill="1" applyBorder="1" applyAlignment="1">
      <alignment wrapText="1"/>
    </xf>
    <xf numFmtId="0" fontId="38" fillId="26" borderId="24" xfId="0" applyFont="1" applyFill="1" applyBorder="1" applyAlignment="1">
      <alignment wrapText="1"/>
    </xf>
    <xf numFmtId="0" fontId="38" fillId="26" borderId="98" xfId="0" applyFont="1" applyFill="1" applyBorder="1" applyAlignment="1">
      <alignment wrapText="1"/>
    </xf>
    <xf numFmtId="0" fontId="50" fillId="24" borderId="33" xfId="0" applyFont="1" applyFill="1" applyBorder="1" applyAlignment="1">
      <alignment wrapText="1"/>
    </xf>
    <xf numFmtId="0" fontId="50" fillId="24" borderId="99" xfId="0" applyFont="1" applyFill="1" applyBorder="1" applyAlignment="1">
      <alignment wrapText="1"/>
    </xf>
    <xf numFmtId="0" fontId="50" fillId="24" borderId="10" xfId="0" applyFont="1" applyFill="1" applyBorder="1" applyAlignment="1">
      <alignment wrapText="1"/>
    </xf>
    <xf numFmtId="0" fontId="50" fillId="24" borderId="62" xfId="0" applyFont="1" applyFill="1" applyBorder="1" applyAlignment="1">
      <alignment wrapText="1"/>
    </xf>
    <xf numFmtId="0" fontId="57" fillId="24" borderId="33" xfId="0" applyFont="1" applyFill="1" applyBorder="1" applyAlignment="1">
      <alignment wrapText="1"/>
    </xf>
    <xf numFmtId="0" fontId="57" fillId="24" borderId="99" xfId="0" applyFont="1" applyFill="1" applyBorder="1" applyAlignment="1">
      <alignment wrapText="1"/>
    </xf>
    <xf numFmtId="0" fontId="56" fillId="24" borderId="24" xfId="0" applyFont="1" applyFill="1" applyBorder="1" applyAlignment="1">
      <alignment wrapText="1"/>
    </xf>
    <xf numFmtId="0" fontId="56" fillId="24" borderId="95" xfId="0" applyFont="1" applyFill="1" applyBorder="1" applyAlignment="1">
      <alignment wrapText="1"/>
    </xf>
    <xf numFmtId="0" fontId="50" fillId="0" borderId="10" xfId="0" applyFont="1" applyBorder="1" applyAlignment="1">
      <alignment wrapText="1"/>
    </xf>
    <xf numFmtId="0" fontId="50" fillId="0" borderId="11" xfId="0" applyFont="1" applyBorder="1" applyAlignment="1">
      <alignment wrapText="1"/>
    </xf>
    <xf numFmtId="0" fontId="38" fillId="26" borderId="11" xfId="0" applyFont="1" applyFill="1" applyBorder="1" applyAlignment="1">
      <alignment wrapText="1"/>
    </xf>
    <xf numFmtId="10" fontId="24" fillId="0" borderId="106" xfId="0" applyNumberFormat="1" applyFont="1" applyBorder="1" applyAlignment="1">
      <alignment horizontal="center" vertical="center" wrapText="1"/>
    </xf>
    <xf numFmtId="10" fontId="24" fillId="0" borderId="56" xfId="0" applyNumberFormat="1" applyFont="1" applyBorder="1" applyAlignment="1">
      <alignment horizontal="center" vertical="center" wrapText="1"/>
    </xf>
    <xf numFmtId="3" fontId="24" fillId="0" borderId="13" xfId="0" applyNumberFormat="1" applyFont="1" applyBorder="1" applyAlignment="1">
      <alignment horizontal="center" vertical="center" wrapText="1"/>
    </xf>
    <xf numFmtId="3" fontId="24" fillId="0" borderId="37" xfId="0" applyNumberFormat="1" applyFont="1" applyBorder="1" applyAlignment="1">
      <alignment horizontal="center" vertical="center" wrapText="1"/>
    </xf>
    <xf numFmtId="166" fontId="24" fillId="0" borderId="106" xfId="0" applyNumberFormat="1" applyFont="1" applyBorder="1" applyAlignment="1">
      <alignment horizontal="center" vertical="center" wrapText="1"/>
    </xf>
    <xf numFmtId="0" fontId="24" fillId="0" borderId="2" xfId="0" applyFont="1" applyBorder="1" applyAlignment="1">
      <alignment horizontal="right" vertical="center" wrapText="1"/>
    </xf>
    <xf numFmtId="166" fontId="24" fillId="0" borderId="2" xfId="0" applyNumberFormat="1" applyFont="1" applyBorder="1" applyAlignment="1">
      <alignment horizontal="right" vertical="center" wrapText="1"/>
    </xf>
    <xf numFmtId="166" fontId="24" fillId="0" borderId="17" xfId="0" applyNumberFormat="1" applyFont="1" applyBorder="1" applyAlignment="1">
      <alignment horizontal="center" vertical="center" wrapText="1"/>
    </xf>
    <xf numFmtId="0" fontId="24" fillId="0" borderId="13" xfId="0" applyFont="1" applyBorder="1" applyAlignment="1">
      <alignment horizontal="right" vertical="center" wrapText="1"/>
    </xf>
    <xf numFmtId="0" fontId="24" fillId="0" borderId="37" xfId="0" applyFont="1" applyBorder="1" applyAlignment="1">
      <alignment horizontal="right" vertical="center" wrapText="1"/>
    </xf>
    <xf numFmtId="10" fontId="24" fillId="0" borderId="17" xfId="0" applyNumberFormat="1" applyFont="1" applyBorder="1" applyAlignment="1">
      <alignment horizontal="center" vertical="center" wrapText="1"/>
    </xf>
    <xf numFmtId="166" fontId="27" fillId="0" borderId="13" xfId="0" applyNumberFormat="1" applyFont="1" applyBorder="1" applyAlignment="1">
      <alignment horizontal="center" vertical="center" wrapText="1"/>
    </xf>
    <xf numFmtId="0" fontId="27" fillId="0" borderId="46" xfId="0" applyFont="1" applyBorder="1" applyAlignment="1">
      <alignment horizontal="center" vertical="center" wrapText="1"/>
    </xf>
    <xf numFmtId="0" fontId="41" fillId="0" borderId="32" xfId="0" applyFont="1" applyBorder="1" applyAlignment="1"/>
    <xf numFmtId="0" fontId="41" fillId="0" borderId="24" xfId="0" applyFont="1" applyBorder="1" applyAlignment="1"/>
    <xf numFmtId="0" fontId="41" fillId="0" borderId="95" xfId="0" applyFont="1" applyBorder="1" applyAlignment="1"/>
    <xf numFmtId="0" fontId="71" fillId="0" borderId="32" xfId="0" applyFont="1" applyBorder="1" applyAlignment="1"/>
    <xf numFmtId="0" fontId="71" fillId="0" borderId="24" xfId="0" applyFont="1" applyBorder="1" applyAlignment="1"/>
    <xf numFmtId="0" fontId="71" fillId="0" borderId="95" xfId="0" applyFont="1" applyBorder="1" applyAlignment="1"/>
    <xf numFmtId="0" fontId="41" fillId="0" borderId="28" xfId="0" applyFont="1" applyBorder="1" applyAlignment="1"/>
    <xf numFmtId="0" fontId="41" fillId="0" borderId="0" xfId="0" applyFont="1" applyAlignment="1"/>
    <xf numFmtId="0" fontId="41" fillId="0" borderId="71" xfId="0" applyFont="1" applyBorder="1" applyAlignment="1"/>
    <xf numFmtId="0" fontId="71" fillId="0" borderId="28" xfId="0" applyFont="1" applyBorder="1" applyAlignment="1"/>
    <xf numFmtId="0" fontId="71" fillId="0" borderId="0" xfId="0" applyFont="1" applyAlignment="1"/>
    <xf numFmtId="0" fontId="71" fillId="0" borderId="71" xfId="0" applyFont="1" applyBorder="1" applyAlignment="1"/>
    <xf numFmtId="0" fontId="41" fillId="0" borderId="96" xfId="0" applyFont="1" applyBorder="1" applyAlignment="1"/>
    <xf numFmtId="0" fontId="41" fillId="0" borderId="98" xfId="0" applyFont="1" applyBorder="1" applyAlignment="1"/>
    <xf numFmtId="0" fontId="41" fillId="0" borderId="97" xfId="0" applyFont="1" applyBorder="1" applyAlignment="1"/>
    <xf numFmtId="0" fontId="71" fillId="0" borderId="96" xfId="0" applyFont="1" applyBorder="1" applyAlignment="1"/>
    <xf numFmtId="0" fontId="71" fillId="0" borderId="98" xfId="0" applyFont="1" applyBorder="1" applyAlignment="1"/>
    <xf numFmtId="0" fontId="71" fillId="0" borderId="97" xfId="0" applyFont="1" applyBorder="1" applyAlignment="1"/>
    <xf numFmtId="0" fontId="41" fillId="0" borderId="10" xfId="0" applyFont="1" applyBorder="1" applyAlignment="1"/>
    <xf numFmtId="0" fontId="41" fillId="0" borderId="62" xfId="0" applyFont="1" applyBorder="1" applyAlignment="1"/>
    <xf numFmtId="0" fontId="75" fillId="0" borderId="9" xfId="0" applyFont="1" applyBorder="1" applyAlignment="1"/>
    <xf numFmtId="0" fontId="75" fillId="0" borderId="10" xfId="0" applyFont="1" applyBorder="1" applyAlignment="1"/>
    <xf numFmtId="0" fontId="75" fillId="0" borderId="62" xfId="0" applyFont="1" applyBorder="1" applyAlignment="1"/>
    <xf numFmtId="0" fontId="43" fillId="0" borderId="3" xfId="0" applyFont="1" applyBorder="1" applyAlignment="1"/>
    <xf numFmtId="0" fontId="43" fillId="0" borderId="36" xfId="0" applyFont="1" applyBorder="1" applyAlignment="1"/>
    <xf numFmtId="0" fontId="32" fillId="0" borderId="27" xfId="0" applyFont="1" applyBorder="1" applyAlignment="1"/>
    <xf numFmtId="0" fontId="32" fillId="0" borderId="63" xfId="0" applyFont="1" applyBorder="1" applyAlignment="1"/>
    <xf numFmtId="0" fontId="41" fillId="24" borderId="0" xfId="0" applyFont="1" applyFill="1" applyAlignment="1"/>
    <xf numFmtId="0" fontId="38" fillId="24" borderId="69" xfId="0" applyFont="1" applyFill="1" applyBorder="1" applyAlignment="1"/>
    <xf numFmtId="0" fontId="38" fillId="24" borderId="68" xfId="0" applyFont="1" applyFill="1" applyBorder="1" applyAlignment="1"/>
    <xf numFmtId="0" fontId="38" fillId="24" borderId="0" xfId="0" applyFont="1" applyFill="1" applyAlignment="1"/>
    <xf numFmtId="0" fontId="38" fillId="24" borderId="71" xfId="0" applyFont="1" applyFill="1" applyBorder="1" applyAlignment="1"/>
    <xf numFmtId="0" fontId="48" fillId="24" borderId="70" xfId="0" applyFont="1" applyFill="1" applyBorder="1" applyAlignment="1"/>
    <xf numFmtId="0" fontId="48" fillId="24" borderId="72" xfId="0" applyFont="1" applyFill="1" applyBorder="1" applyAlignment="1"/>
    <xf numFmtId="0" fontId="38" fillId="24" borderId="70" xfId="0" applyFont="1" applyFill="1" applyBorder="1" applyAlignment="1"/>
    <xf numFmtId="0" fontId="38" fillId="24" borderId="72" xfId="0" applyFont="1" applyFill="1" applyBorder="1" applyAlignment="1"/>
    <xf numFmtId="0" fontId="38" fillId="24" borderId="73" xfId="0" applyFont="1" applyFill="1" applyBorder="1" applyAlignment="1"/>
    <xf numFmtId="0" fontId="38" fillId="24" borderId="74" xfId="0" applyFont="1" applyFill="1" applyBorder="1" applyAlignment="1"/>
    <xf numFmtId="0" fontId="38" fillId="24" borderId="75" xfId="0" applyFont="1" applyFill="1" applyBorder="1" applyAlignment="1"/>
    <xf numFmtId="0" fontId="38" fillId="24" borderId="76" xfId="0" applyFont="1" applyFill="1" applyBorder="1" applyAlignment="1"/>
    <xf numFmtId="0" fontId="38" fillId="24" borderId="77" xfId="0" applyFont="1" applyFill="1" applyBorder="1" applyAlignment="1"/>
    <xf numFmtId="0" fontId="38" fillId="24" borderId="78" xfId="0" applyFont="1" applyFill="1" applyBorder="1" applyAlignment="1"/>
    <xf numFmtId="0" fontId="38" fillId="24" borderId="79" xfId="0" applyFont="1" applyFill="1" applyBorder="1" applyAlignment="1"/>
    <xf numFmtId="0" fontId="38" fillId="24" borderId="82" xfId="0" applyFont="1" applyFill="1" applyBorder="1" applyAlignment="1"/>
    <xf numFmtId="0" fontId="38" fillId="24" borderId="83" xfId="0" applyFont="1" applyFill="1" applyBorder="1" applyAlignment="1"/>
    <xf numFmtId="0" fontId="38" fillId="24" borderId="85" xfId="0" applyFont="1" applyFill="1" applyBorder="1" applyAlignment="1"/>
    <xf numFmtId="0" fontId="38" fillId="24" borderId="86" xfId="0" applyFont="1" applyFill="1" applyBorder="1" applyAlignment="1"/>
    <xf numFmtId="0" fontId="38" fillId="24" borderId="87" xfId="0" applyFont="1" applyFill="1" applyBorder="1" applyAlignment="1"/>
    <xf numFmtId="0" fontId="38" fillId="24" borderId="88" xfId="0" applyFont="1" applyFill="1" applyBorder="1" applyAlignment="1"/>
    <xf numFmtId="0" fontId="38" fillId="24" borderId="89" xfId="0" applyFont="1" applyFill="1" applyBorder="1" applyAlignment="1"/>
    <xf numFmtId="0" fontId="38" fillId="24" borderId="92" xfId="0" applyFont="1" applyFill="1" applyBorder="1" applyAlignment="1"/>
    <xf numFmtId="0" fontId="38" fillId="24" borderId="93" xfId="0" applyFont="1" applyFill="1" applyBorder="1" applyAlignment="1"/>
    <xf numFmtId="0" fontId="38" fillId="24" borderId="90" xfId="0" applyFont="1" applyFill="1" applyBorder="1" applyAlignment="1"/>
    <xf numFmtId="0" fontId="38" fillId="0" borderId="9" xfId="0" applyFont="1" applyBorder="1" applyAlignment="1"/>
    <xf numFmtId="0" fontId="38" fillId="0" borderId="10" xfId="0" applyFont="1" applyBorder="1" applyAlignment="1"/>
    <xf numFmtId="0" fontId="38" fillId="0" borderId="62" xfId="0" applyFont="1" applyBorder="1" applyAlignment="1"/>
    <xf numFmtId="0" fontId="38" fillId="26" borderId="10" xfId="0" applyFont="1" applyFill="1" applyBorder="1" applyAlignment="1"/>
    <xf numFmtId="0" fontId="38" fillId="26" borderId="11" xfId="0" applyFont="1" applyFill="1" applyBorder="1" applyAlignment="1"/>
    <xf numFmtId="0" fontId="48" fillId="0" borderId="27" xfId="0" applyFont="1" applyBorder="1" applyAlignment="1"/>
    <xf numFmtId="0" fontId="50" fillId="0" borderId="10" xfId="0" applyFont="1" applyBorder="1" applyAlignment="1"/>
    <xf numFmtId="0" fontId="50" fillId="0" borderId="11" xfId="0" applyFont="1" applyBorder="1" applyAlignment="1"/>
    <xf numFmtId="0" fontId="50" fillId="0" borderId="32" xfId="0" applyFont="1" applyBorder="1" applyAlignment="1"/>
    <xf numFmtId="0" fontId="50" fillId="0" borderId="24" xfId="0" applyFont="1" applyBorder="1" applyAlignment="1"/>
    <xf numFmtId="0" fontId="50" fillId="0" borderId="29" xfId="0" applyFont="1" applyBorder="1" applyAlignment="1"/>
    <xf numFmtId="0" fontId="48" fillId="0" borderId="23" xfId="0" applyFont="1" applyBorder="1" applyAlignment="1"/>
    <xf numFmtId="0" fontId="50" fillId="0" borderId="35" xfId="0" applyFont="1" applyBorder="1" applyAlignment="1"/>
    <xf numFmtId="0" fontId="50" fillId="0" borderId="33" xfId="0" applyFont="1" applyBorder="1" applyAlignment="1"/>
    <xf numFmtId="0" fontId="50" fillId="0" borderId="34" xfId="0" applyFont="1" applyBorder="1" applyAlignment="1"/>
    <xf numFmtId="0" fontId="50" fillId="0" borderId="95" xfId="0" applyFont="1" applyBorder="1" applyAlignment="1"/>
    <xf numFmtId="0" fontId="50" fillId="0" borderId="28" xfId="0" applyFont="1" applyBorder="1" applyAlignment="1"/>
    <xf numFmtId="0" fontId="50" fillId="0" borderId="0" xfId="0" applyFont="1" applyAlignment="1"/>
    <xf numFmtId="0" fontId="50" fillId="0" borderId="15" xfId="0" applyFont="1" applyBorder="1" applyAlignment="1"/>
    <xf numFmtId="0" fontId="50" fillId="0" borderId="71" xfId="0" applyFont="1" applyBorder="1" applyAlignment="1"/>
    <xf numFmtId="0" fontId="50" fillId="0" borderId="96" xfId="0" applyFont="1" applyBorder="1" applyAlignment="1"/>
    <xf numFmtId="0" fontId="50" fillId="0" borderId="98" xfId="0" applyFont="1" applyBorder="1" applyAlignment="1"/>
    <xf numFmtId="0" fontId="50" fillId="0" borderId="97" xfId="0" applyFont="1" applyBorder="1" applyAlignment="1"/>
    <xf numFmtId="0" fontId="38" fillId="0" borderId="11" xfId="0" applyFont="1" applyBorder="1" applyAlignment="1"/>
    <xf numFmtId="0" fontId="39" fillId="0" borderId="10" xfId="0" applyFont="1" applyBorder="1" applyAlignment="1"/>
    <xf numFmtId="0" fontId="39" fillId="0" borderId="11" xfId="0" applyFont="1" applyBorder="1" applyAlignment="1"/>
    <xf numFmtId="0" fontId="38" fillId="0" borderId="24" xfId="0" applyFont="1" applyBorder="1" applyAlignment="1"/>
    <xf numFmtId="0" fontId="38" fillId="0" borderId="95" xfId="0" applyFont="1" applyBorder="1" applyAlignment="1"/>
    <xf numFmtId="0" fontId="48" fillId="0" borderId="63" xfId="0" applyFont="1" applyBorder="1" applyAlignment="1"/>
    <xf numFmtId="0" fontId="50" fillId="0" borderId="99" xfId="0" applyFont="1" applyBorder="1" applyAlignment="1"/>
    <xf numFmtId="0" fontId="39" fillId="24" borderId="0" xfId="0" applyFont="1" applyFill="1" applyAlignment="1"/>
    <xf numFmtId="0" fontId="50" fillId="24" borderId="0" xfId="0" applyFont="1" applyFill="1" applyAlignment="1"/>
  </cellXfs>
  <cellStyles count="9">
    <cellStyle name="Hipervínculo" xfId="6" builtinId="8"/>
    <cellStyle name="Hyperlink" xfId="7" xr:uid="{00000000-000B-0000-0000-000008000000}"/>
    <cellStyle name="Millares" xfId="1" builtinId="3"/>
    <cellStyle name="Millares 2" xfId="8" xr:uid="{69CC9C97-A601-4586-BA19-B8DC1A4CCA07}"/>
    <cellStyle name="Millares 2 2" xfId="4" xr:uid="{00000000-0005-0000-0000-000001000000}"/>
    <cellStyle name="Normal" xfId="0" builtinId="0"/>
    <cellStyle name="Normal 2" xfId="3" xr:uid="{00000000-0005-0000-0000-000003000000}"/>
    <cellStyle name="Normal_YTD - Poli USGAAP Ene 07" xfId="5" xr:uid="{00000000-0005-0000-0000-000004000000}"/>
    <cellStyle name="Porcentaje" xfId="2" builtinId="5"/>
  </cellStyles>
  <dxfs count="0"/>
  <tableStyles count="0" defaultTableStyle="TableStyleMedium2" defaultPivotStyle="PivotStyleLight16"/>
  <colors>
    <mruColors>
      <color rgb="FFF0D8EB"/>
      <color rgb="FFFF002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8</xdr:col>
      <xdr:colOff>10977</xdr:colOff>
      <xdr:row>1</xdr:row>
      <xdr:rowOff>8072</xdr:rowOff>
    </xdr:from>
    <xdr:to>
      <xdr:col>16</xdr:col>
      <xdr:colOff>306253</xdr:colOff>
      <xdr:row>21</xdr:row>
      <xdr:rowOff>55209</xdr:rowOff>
    </xdr:to>
    <xdr:pic>
      <xdr:nvPicPr>
        <xdr:cNvPr id="3" name="Imagen 2">
          <a:extLst>
            <a:ext uri="{FF2B5EF4-FFF2-40B4-BE49-F238E27FC236}">
              <a16:creationId xmlns:a16="http://schemas.microsoft.com/office/drawing/2014/main" id="{4DF52A8C-569B-4905-8BB9-E82757A5794C}"/>
            </a:ext>
          </a:extLst>
        </xdr:cNvPr>
        <xdr:cNvPicPr>
          <a:picLocks noChangeAspect="1"/>
        </xdr:cNvPicPr>
      </xdr:nvPicPr>
      <xdr:blipFill>
        <a:blip xmlns:r="http://schemas.openxmlformats.org/officeDocument/2006/relationships" r:embed="rId1"/>
        <a:stretch>
          <a:fillRect/>
        </a:stretch>
      </xdr:blipFill>
      <xdr:spPr>
        <a:xfrm>
          <a:off x="7768202" y="153369"/>
          <a:ext cx="6365445" cy="3921713"/>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8" Type="http://schemas.openxmlformats.org/officeDocument/2006/relationships/hyperlink" Target="mailto:jsaenzc@uniempresarial.edu.co" TargetMode="External"/><Relationship Id="rId3" Type="http://schemas.openxmlformats.org/officeDocument/2006/relationships/hyperlink" Target="mailto:jsaenzc@uniempresarial.edu.co" TargetMode="External"/><Relationship Id="rId7" Type="http://schemas.openxmlformats.org/officeDocument/2006/relationships/hyperlink" Target="mailto:rmanrique@uniempresarial.edu.co" TargetMode="External"/><Relationship Id="rId2" Type="http://schemas.openxmlformats.org/officeDocument/2006/relationships/hyperlink" Target="mailto:jsaenzc@uniempresarial.edu.co" TargetMode="External"/><Relationship Id="rId1" Type="http://schemas.openxmlformats.org/officeDocument/2006/relationships/hyperlink" Target="mailto:nsuescun@uniempresarial.edu.co" TargetMode="External"/><Relationship Id="rId6" Type="http://schemas.openxmlformats.org/officeDocument/2006/relationships/hyperlink" Target="mailto:contratofortalecimiento@uniemoresarial.edu.co" TargetMode="External"/><Relationship Id="rId5" Type="http://schemas.openxmlformats.org/officeDocument/2006/relationships/hyperlink" Target="mailto:contratofortalecimiento@uniemoresarial.edu.co" TargetMode="External"/><Relationship Id="rId10" Type="http://schemas.openxmlformats.org/officeDocument/2006/relationships/hyperlink" Target="mailto:austate@uniempresarial.edu.co" TargetMode="External"/><Relationship Id="rId4" Type="http://schemas.openxmlformats.org/officeDocument/2006/relationships/hyperlink" Target="mailto:jsaenzc@uniempresarial.edu.co" TargetMode="External"/><Relationship Id="rId9" Type="http://schemas.openxmlformats.org/officeDocument/2006/relationships/hyperlink" Target="mailto:austate@uniempresarial.edu.co"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N135"/>
  <sheetViews>
    <sheetView topLeftCell="A68" zoomScaleNormal="100" workbookViewId="0">
      <selection activeCell="I84" sqref="I84"/>
    </sheetView>
  </sheetViews>
  <sheetFormatPr defaultColWidth="11.85546875" defaultRowHeight="11.25"/>
  <cols>
    <col min="1" max="1" width="4.28515625" style="1" customWidth="1"/>
    <col min="2" max="2" width="7.28515625" style="1" customWidth="1"/>
    <col min="3" max="3" width="4.5703125" style="1" customWidth="1"/>
    <col min="4" max="4" width="31.5703125" style="1" customWidth="1"/>
    <col min="5" max="5" width="12.5703125" style="1" customWidth="1"/>
    <col min="6" max="6" width="13" style="1" customWidth="1"/>
    <col min="7" max="7" width="10.85546875" style="2" customWidth="1"/>
    <col min="8" max="8" width="11.85546875" style="1" customWidth="1"/>
    <col min="9" max="9" width="11.140625" style="2" customWidth="1"/>
    <col min="10" max="10" width="10.42578125" style="1" customWidth="1"/>
    <col min="11" max="11" width="11.7109375" style="1" bestFit="1" customWidth="1"/>
    <col min="12" max="12" width="10.85546875" style="1" customWidth="1"/>
    <col min="13" max="13" width="12.7109375" style="1" bestFit="1" customWidth="1"/>
    <col min="14" max="14" width="10.85546875" style="3" bestFit="1" customWidth="1"/>
    <col min="15" max="15" width="12" style="1" bestFit="1" customWidth="1"/>
    <col min="16" max="16" width="8.5703125" style="1" bestFit="1" customWidth="1"/>
    <col min="17" max="17" width="9" style="1" bestFit="1" customWidth="1"/>
    <col min="18" max="18" width="12" style="1" bestFit="1" customWidth="1"/>
    <col min="19" max="19" width="12.7109375" style="1" bestFit="1" customWidth="1"/>
    <col min="20" max="25" width="12" style="1" bestFit="1" customWidth="1"/>
    <col min="26" max="26" width="14" style="4" bestFit="1" customWidth="1"/>
    <col min="27" max="27" width="12" style="4" bestFit="1" customWidth="1"/>
    <col min="28" max="28" width="12" style="1" bestFit="1" customWidth="1"/>
    <col min="29" max="29" width="12.7109375" style="1" bestFit="1" customWidth="1"/>
    <col min="30" max="33" width="12" style="1" bestFit="1" customWidth="1"/>
    <col min="34" max="34" width="11.85546875" style="1"/>
    <col min="35" max="36" width="12" style="1" bestFit="1" customWidth="1"/>
    <col min="37" max="16384" width="11.85546875" style="1"/>
  </cols>
  <sheetData>
    <row r="1" spans="1:40">
      <c r="A1" s="1" t="s">
        <v>0</v>
      </c>
    </row>
    <row r="2" spans="1:40">
      <c r="A2" s="1" t="s">
        <v>1</v>
      </c>
      <c r="Z2" s="5"/>
      <c r="AA2" s="5"/>
    </row>
    <row r="3" spans="1:40">
      <c r="I3" s="1"/>
      <c r="Y3" s="6"/>
      <c r="Z3" s="5"/>
      <c r="AA3" s="5"/>
      <c r="AF3" s="1">
        <f>+AF12/Z30</f>
        <v>0</v>
      </c>
    </row>
    <row r="4" spans="1:40">
      <c r="A4" s="1" t="s">
        <v>2</v>
      </c>
      <c r="D4" s="1" t="s">
        <v>3</v>
      </c>
      <c r="G4" s="1"/>
      <c r="I4" s="1"/>
      <c r="J4" s="2"/>
      <c r="AA4" s="5"/>
      <c r="AB4" s="3"/>
    </row>
    <row r="5" spans="1:40" ht="12" customHeight="1">
      <c r="A5" s="1" t="s">
        <v>4</v>
      </c>
      <c r="D5" s="7" t="s">
        <v>5</v>
      </c>
      <c r="F5" s="7"/>
      <c r="G5" s="7"/>
      <c r="H5" s="7"/>
      <c r="I5" s="7"/>
      <c r="J5" s="7"/>
      <c r="K5" s="8"/>
      <c r="L5" s="8"/>
      <c r="M5" s="8"/>
      <c r="N5" s="9"/>
      <c r="T5" s="10"/>
      <c r="U5" s="10"/>
      <c r="V5" s="10"/>
      <c r="W5" s="10"/>
      <c r="X5" s="10"/>
      <c r="Z5" s="11">
        <f>+Z19+Z20+Z21</f>
        <v>202860295.54999998</v>
      </c>
      <c r="AA5" s="4">
        <f>+Z5/(245*3)</f>
        <v>276000.4021088435</v>
      </c>
    </row>
    <row r="6" spans="1:40">
      <c r="A6" s="1" t="s">
        <v>6</v>
      </c>
      <c r="D6" s="1" t="s">
        <v>7</v>
      </c>
      <c r="G6" s="1"/>
      <c r="I6" s="1"/>
      <c r="J6" s="2"/>
      <c r="Y6" s="10"/>
      <c r="Z6" s="5">
        <f>+Z5-AI30</f>
        <v>-2726545258.1219997</v>
      </c>
    </row>
    <row r="7" spans="1:40" ht="12" thickBot="1">
      <c r="A7" s="1" t="s">
        <v>8</v>
      </c>
      <c r="D7" s="1" t="s">
        <v>9</v>
      </c>
      <c r="G7" s="1"/>
      <c r="I7" s="1"/>
      <c r="J7" s="2"/>
    </row>
    <row r="8" spans="1:40" ht="30" customHeight="1" thickBot="1">
      <c r="A8" s="12" t="s">
        <v>10</v>
      </c>
      <c r="B8" s="13" t="s">
        <v>10</v>
      </c>
      <c r="C8" s="13" t="s">
        <v>11</v>
      </c>
      <c r="D8" s="13" t="s">
        <v>12</v>
      </c>
      <c r="E8" s="590" t="s">
        <v>13</v>
      </c>
      <c r="F8" s="590"/>
      <c r="G8" s="590"/>
      <c r="H8" s="590"/>
      <c r="I8" s="590"/>
      <c r="J8" s="590"/>
      <c r="K8" s="590"/>
      <c r="L8" s="590"/>
      <c r="M8" s="568" t="s">
        <v>14</v>
      </c>
      <c r="N8" s="569" t="s">
        <v>15</v>
      </c>
      <c r="O8" s="569"/>
      <c r="P8" s="569"/>
      <c r="Q8" s="569"/>
      <c r="R8" s="570"/>
      <c r="S8" s="15"/>
      <c r="T8" s="571" t="s">
        <v>16</v>
      </c>
      <c r="U8" s="569"/>
      <c r="V8" s="569"/>
      <c r="W8" s="569"/>
      <c r="X8" s="569"/>
      <c r="Y8" s="570"/>
      <c r="Z8" s="572" t="s">
        <v>17</v>
      </c>
      <c r="AA8" s="573"/>
      <c r="AB8" s="574"/>
      <c r="AC8" s="575" t="s">
        <v>18</v>
      </c>
      <c r="AD8" s="576"/>
      <c r="AE8" s="576"/>
      <c r="AF8" s="577"/>
      <c r="AG8" s="586" t="s">
        <v>19</v>
      </c>
      <c r="AH8" s="587" t="s">
        <v>20</v>
      </c>
    </row>
    <row r="9" spans="1:40" ht="23.25" thickBot="1">
      <c r="E9" s="16" t="s">
        <v>21</v>
      </c>
      <c r="F9" s="17" t="s">
        <v>22</v>
      </c>
      <c r="G9" s="17" t="s">
        <v>23</v>
      </c>
      <c r="H9" s="17" t="s">
        <v>24</v>
      </c>
      <c r="I9" s="17" t="s">
        <v>25</v>
      </c>
      <c r="J9" s="17" t="s">
        <v>26</v>
      </c>
      <c r="K9" s="16" t="s">
        <v>27</v>
      </c>
      <c r="L9" s="16" t="s">
        <v>28</v>
      </c>
      <c r="M9" s="568"/>
      <c r="N9" s="18" t="s">
        <v>29</v>
      </c>
      <c r="O9" s="19" t="s">
        <v>30</v>
      </c>
      <c r="P9" s="19" t="s">
        <v>31</v>
      </c>
      <c r="Q9" s="19" t="s">
        <v>32</v>
      </c>
      <c r="R9" s="20" t="s">
        <v>33</v>
      </c>
      <c r="S9" s="16" t="s">
        <v>34</v>
      </c>
      <c r="T9" s="21" t="s">
        <v>35</v>
      </c>
      <c r="U9" s="21" t="s">
        <v>36</v>
      </c>
      <c r="V9" s="21" t="s">
        <v>37</v>
      </c>
      <c r="W9" s="21" t="s">
        <v>38</v>
      </c>
      <c r="X9" s="21" t="s">
        <v>39</v>
      </c>
      <c r="Y9" s="22" t="s">
        <v>40</v>
      </c>
      <c r="Z9" s="23" t="s">
        <v>41</v>
      </c>
      <c r="AA9" s="580" t="s">
        <v>42</v>
      </c>
      <c r="AB9" s="589"/>
      <c r="AC9" s="578" t="s">
        <v>43</v>
      </c>
      <c r="AD9" s="578" t="s">
        <v>15</v>
      </c>
      <c r="AE9" s="578" t="s">
        <v>44</v>
      </c>
      <c r="AF9" s="578" t="s">
        <v>45</v>
      </c>
      <c r="AG9" s="586"/>
      <c r="AH9" s="588"/>
      <c r="AI9" s="578" t="s">
        <v>46</v>
      </c>
    </row>
    <row r="10" spans="1:40" ht="12" thickBot="1">
      <c r="E10" s="24"/>
      <c r="F10" s="17"/>
      <c r="G10" s="17"/>
      <c r="H10" s="17"/>
      <c r="I10" s="17"/>
      <c r="J10" s="17"/>
      <c r="K10" s="16"/>
      <c r="L10" s="16"/>
      <c r="M10" s="14"/>
      <c r="N10" s="25">
        <v>27075</v>
      </c>
      <c r="O10" s="26">
        <v>3.8399999999999997E-2</v>
      </c>
      <c r="P10" s="26">
        <v>3.2000000000000001E-2</v>
      </c>
      <c r="Q10" s="27">
        <v>6.1419999999999999E-3</v>
      </c>
      <c r="R10" s="176"/>
      <c r="T10" s="28">
        <v>0.1033474222</v>
      </c>
      <c r="U10" s="29">
        <v>5.0000000000000001E-3</v>
      </c>
      <c r="V10" s="29">
        <v>1.2E-2</v>
      </c>
      <c r="W10" s="29">
        <v>3.6949821000000001E-2</v>
      </c>
      <c r="X10" s="30">
        <v>0</v>
      </c>
      <c r="Y10" s="31">
        <f>SUM(T10:X10)</f>
        <v>0.15729724319999999</v>
      </c>
      <c r="Z10" s="32">
        <v>0.2</v>
      </c>
      <c r="AA10" s="33" t="s">
        <v>47</v>
      </c>
      <c r="AB10" s="34" t="s">
        <v>48</v>
      </c>
      <c r="AC10" s="579"/>
      <c r="AD10" s="579"/>
      <c r="AE10" s="579"/>
      <c r="AF10" s="579"/>
      <c r="AG10" s="586"/>
      <c r="AH10" s="588"/>
      <c r="AI10" s="579"/>
    </row>
    <row r="11" spans="1:40" ht="12" thickBot="1">
      <c r="B11" s="35"/>
      <c r="C11" s="35"/>
      <c r="D11" s="36" t="s">
        <v>49</v>
      </c>
      <c r="E11" s="37"/>
      <c r="F11" s="38"/>
      <c r="G11" s="38"/>
      <c r="H11" s="38"/>
      <c r="I11" s="38"/>
      <c r="J11" s="38"/>
      <c r="K11" s="39"/>
      <c r="L11" s="39"/>
      <c r="M11" s="39"/>
      <c r="N11" s="40">
        <v>0</v>
      </c>
      <c r="O11" s="41">
        <v>0</v>
      </c>
      <c r="P11" s="41">
        <v>0</v>
      </c>
      <c r="Q11" s="177">
        <v>4.4999999999999997E-3</v>
      </c>
      <c r="R11" s="178"/>
      <c r="S11" s="42">
        <v>0.28699999999999998</v>
      </c>
      <c r="T11" s="43">
        <f>+T30/$Z$30</f>
        <v>9.3984314891909976E-2</v>
      </c>
      <c r="U11" s="43">
        <f>+U30/$Z$30</f>
        <v>4.5470081832341023E-3</v>
      </c>
      <c r="V11" s="43">
        <f>+V30/$Z$30</f>
        <v>1.0912819639761847E-2</v>
      </c>
      <c r="W11" s="43">
        <f>+W30/$Z$30</f>
        <v>3.3602227691207062E-2</v>
      </c>
      <c r="X11" s="43">
        <f>+X30/$Z$30</f>
        <v>0</v>
      </c>
      <c r="Y11" s="44">
        <f>SUM(T11:X11)</f>
        <v>0.14304637040611298</v>
      </c>
      <c r="Z11" s="45"/>
      <c r="AA11" s="46"/>
      <c r="AB11" s="47"/>
      <c r="AC11" s="48"/>
      <c r="AD11" s="48"/>
      <c r="AE11" s="48"/>
      <c r="AF11" s="49"/>
      <c r="AG11" s="50"/>
      <c r="AH11" s="16"/>
    </row>
    <row r="12" spans="1:40" ht="12" customHeight="1">
      <c r="A12" s="580"/>
      <c r="B12" s="581" t="s">
        <v>50</v>
      </c>
      <c r="C12" s="51"/>
      <c r="D12" s="582" t="s">
        <v>51</v>
      </c>
      <c r="E12" s="583"/>
      <c r="F12" s="583"/>
      <c r="I12" s="52"/>
      <c r="K12" s="2"/>
      <c r="L12" s="53"/>
      <c r="M12" s="54"/>
      <c r="O12" s="53"/>
      <c r="P12" s="53"/>
      <c r="Q12" s="53"/>
      <c r="R12" s="55"/>
      <c r="S12" s="3"/>
      <c r="T12" s="53"/>
      <c r="U12" s="53"/>
      <c r="V12" s="53"/>
      <c r="W12" s="53"/>
      <c r="X12" s="53"/>
      <c r="Y12" s="53"/>
      <c r="Z12" s="56">
        <f>SUM(Z19:Z21)</f>
        <v>202860295.54999998</v>
      </c>
      <c r="AA12" s="3"/>
      <c r="AB12" s="57"/>
      <c r="AC12" s="56"/>
      <c r="AD12" s="3"/>
      <c r="AE12" s="3"/>
      <c r="AF12" s="58"/>
      <c r="AG12" s="5">
        <f>+AI30-Z53</f>
        <v>-286028066.87800026</v>
      </c>
      <c r="AH12" s="59" t="s">
        <v>52</v>
      </c>
    </row>
    <row r="13" spans="1:40">
      <c r="A13" s="580"/>
      <c r="B13" s="581"/>
      <c r="C13" s="51"/>
      <c r="D13" s="60" t="s">
        <v>53</v>
      </c>
      <c r="H13" s="61" t="s">
        <v>54</v>
      </c>
      <c r="I13" s="52"/>
      <c r="K13" s="2"/>
      <c r="L13" s="53"/>
      <c r="M13" s="62"/>
      <c r="O13" s="53"/>
      <c r="P13" s="53"/>
      <c r="Q13" s="53"/>
      <c r="R13" s="4"/>
      <c r="S13" s="3"/>
      <c r="T13" s="53"/>
      <c r="U13" s="53"/>
      <c r="V13" s="53"/>
      <c r="W13" s="53"/>
      <c r="X13" s="53"/>
      <c r="Y13" s="53"/>
      <c r="Z13" s="56"/>
      <c r="AA13" s="3"/>
      <c r="AB13" s="57"/>
      <c r="AC13" s="63"/>
      <c r="AF13" s="64"/>
      <c r="AG13" s="5"/>
      <c r="AH13" s="3"/>
    </row>
    <row r="14" spans="1:40">
      <c r="A14" s="580"/>
      <c r="B14" s="581"/>
      <c r="C14" s="51">
        <v>1</v>
      </c>
      <c r="D14" s="8" t="s">
        <v>55</v>
      </c>
      <c r="E14" s="1">
        <v>1310</v>
      </c>
      <c r="F14" s="1">
        <v>1</v>
      </c>
      <c r="G14" s="65">
        <f t="shared" ref="G14:G27" si="0">+E14/F14</f>
        <v>1310</v>
      </c>
      <c r="H14" s="66">
        <v>1</v>
      </c>
      <c r="I14" s="65">
        <f t="shared" ref="I14:I27" si="1">+G14*H14</f>
        <v>1310</v>
      </c>
      <c r="J14" s="61">
        <v>1</v>
      </c>
      <c r="K14" s="65">
        <f>+I14*J14</f>
        <v>1310</v>
      </c>
      <c r="L14" s="53">
        <v>85000</v>
      </c>
      <c r="M14" s="54">
        <f t="shared" ref="M14:M28" si="2">+K14*L14</f>
        <v>111350000</v>
      </c>
      <c r="N14" s="3">
        <v>0</v>
      </c>
      <c r="O14" s="53">
        <f t="shared" ref="O14:O27" si="3">+M14*$O$11</f>
        <v>0</v>
      </c>
      <c r="P14" s="53">
        <f>+M14*$P$11</f>
        <v>0</v>
      </c>
      <c r="Q14" s="53">
        <f>+M14*$Q$11</f>
        <v>501074.99999999994</v>
      </c>
      <c r="R14" s="55">
        <f>SUM(N14:Q14)</f>
        <v>501074.99999999994</v>
      </c>
      <c r="S14" s="3">
        <f>ROUND((+M14+R14)/(1-$S$11),-3)</f>
        <v>156874000</v>
      </c>
      <c r="T14" s="53">
        <f>+S14*$T$10</f>
        <v>16212523.510202799</v>
      </c>
      <c r="U14" s="53">
        <f>+S14*$U$10</f>
        <v>784370</v>
      </c>
      <c r="V14" s="53">
        <f t="shared" ref="V14:V27" si="4">+S14*$V$10</f>
        <v>1882488</v>
      </c>
      <c r="W14" s="53">
        <f t="shared" ref="W14:W27" si="5">+S14*$W$10</f>
        <v>5796466.2195540005</v>
      </c>
      <c r="X14" s="53">
        <f t="shared" ref="X14:X27" si="6">+S14*$X$10</f>
        <v>0</v>
      </c>
      <c r="Y14" s="67">
        <f t="shared" ref="Y14:Y27" si="7">SUM(T14:X14)</f>
        <v>24675847.729756799</v>
      </c>
      <c r="Z14" s="56">
        <f>ROUND((+Y14+R14+M14)/(1-$Z$10),0)+30</f>
        <v>170658683</v>
      </c>
      <c r="AA14" s="3">
        <f t="shared" ref="AA14:AA27" si="8">ROUND((+Z14-Y14-R14-M14),0)</f>
        <v>34131760</v>
      </c>
      <c r="AB14" s="57">
        <f>+AA14/Z14</f>
        <v>0.20000013711578918</v>
      </c>
      <c r="AC14" s="56">
        <f t="shared" ref="AC14:AC27" si="9">+M14</f>
        <v>111350000</v>
      </c>
      <c r="AD14" s="3">
        <f t="shared" ref="AD14:AD27" si="10">+R14</f>
        <v>501074.99999999994</v>
      </c>
      <c r="AE14" s="3">
        <f>+Y14</f>
        <v>24675847.729756799</v>
      </c>
      <c r="AF14" s="58">
        <f>+AA14</f>
        <v>34131760</v>
      </c>
      <c r="AG14" s="68">
        <f t="shared" ref="AG14:AG27" si="11">+Z14-AC14-AD14-AE14-AF14</f>
        <v>0.27024319767951965</v>
      </c>
      <c r="AI14" s="3">
        <f>+K14*(165380*1.0577)</f>
        <v>229148378.06</v>
      </c>
      <c r="AJ14" s="3">
        <f t="shared" ref="AJ14:AJ27" si="12">+AI14/K14</f>
        <v>174922.42600000001</v>
      </c>
      <c r="AK14" s="179">
        <f>+AI14/$AI$30</f>
        <v>7.8223507760051617E-2</v>
      </c>
      <c r="AM14" s="3"/>
      <c r="AN14" s="3"/>
    </row>
    <row r="15" spans="1:40">
      <c r="A15" s="580"/>
      <c r="B15" s="581"/>
      <c r="C15" s="51">
        <f>1+C14</f>
        <v>2</v>
      </c>
      <c r="D15" s="8" t="s">
        <v>56</v>
      </c>
      <c r="E15" s="1">
        <v>2027</v>
      </c>
      <c r="F15" s="1">
        <v>1</v>
      </c>
      <c r="G15" s="65">
        <f t="shared" si="0"/>
        <v>2027</v>
      </c>
      <c r="H15" s="66">
        <v>1</v>
      </c>
      <c r="I15" s="65">
        <f t="shared" si="1"/>
        <v>2027</v>
      </c>
      <c r="J15" s="61">
        <v>1</v>
      </c>
      <c r="K15" s="65">
        <f t="shared" ref="K15:K27" si="13">+I15*J15</f>
        <v>2027</v>
      </c>
      <c r="L15" s="53">
        <v>105000</v>
      </c>
      <c r="M15" s="54">
        <f t="shared" si="2"/>
        <v>212835000</v>
      </c>
      <c r="N15" s="3">
        <f>+K15*$N$11</f>
        <v>0</v>
      </c>
      <c r="O15" s="53">
        <f t="shared" si="3"/>
        <v>0</v>
      </c>
      <c r="P15" s="53">
        <f>+M15*$P$11</f>
        <v>0</v>
      </c>
      <c r="Q15" s="53">
        <f>+M15*$Q$11</f>
        <v>957757.49999999988</v>
      </c>
      <c r="R15" s="55">
        <f>SUM(N15:Q15)</f>
        <v>957757.49999999988</v>
      </c>
      <c r="S15" s="3">
        <f t="shared" ref="S15:S27" si="14">ROUND((+M15+R15)/(1-$S$11),-3)</f>
        <v>299850000</v>
      </c>
      <c r="T15" s="53">
        <f t="shared" ref="T15:T27" si="15">+S15*$T$10</f>
        <v>30988724.546669997</v>
      </c>
      <c r="U15" s="53">
        <f t="shared" ref="U15:U27" si="16">+S15*$U$10</f>
        <v>1499250</v>
      </c>
      <c r="V15" s="53">
        <f t="shared" si="4"/>
        <v>3598200</v>
      </c>
      <c r="W15" s="53">
        <f t="shared" si="5"/>
        <v>11079403.826850001</v>
      </c>
      <c r="X15" s="53">
        <f t="shared" si="6"/>
        <v>0</v>
      </c>
      <c r="Y15" s="67">
        <f t="shared" si="7"/>
        <v>47165578.373520002</v>
      </c>
      <c r="Z15" s="56">
        <f t="shared" ref="Z15:Z27" si="17">ROUND((+Y15+R15+M15)/(1-$Z$10),0)</f>
        <v>326197920</v>
      </c>
      <c r="AA15" s="3">
        <f t="shared" si="8"/>
        <v>65239584</v>
      </c>
      <c r="AB15" s="57">
        <f t="shared" ref="AB15:AB27" si="18">+AA15/Z15</f>
        <v>0.2</v>
      </c>
      <c r="AC15" s="56">
        <f t="shared" si="9"/>
        <v>212835000</v>
      </c>
      <c r="AD15" s="3">
        <f t="shared" si="10"/>
        <v>957757.49999999988</v>
      </c>
      <c r="AE15" s="3">
        <f t="shared" ref="AE15:AE27" si="19">+Y15</f>
        <v>47165578.373520002</v>
      </c>
      <c r="AF15" s="58">
        <f t="shared" ref="AF15:AF27" si="20">+AA15</f>
        <v>65239584</v>
      </c>
      <c r="AG15" s="68">
        <f t="shared" si="11"/>
        <v>0.12647999823093414</v>
      </c>
      <c r="AI15" s="3">
        <f>+K15*(210000*1.0577)</f>
        <v>450231159.00000006</v>
      </c>
      <c r="AJ15" s="69">
        <f t="shared" si="12"/>
        <v>222117.00000000003</v>
      </c>
      <c r="AK15" s="179">
        <f>+AI15/$AI$30</f>
        <v>0.15369369339647657</v>
      </c>
      <c r="AM15" s="3"/>
      <c r="AN15" s="3"/>
    </row>
    <row r="16" spans="1:40">
      <c r="A16" s="580"/>
      <c r="B16" s="581"/>
      <c r="C16" s="51">
        <f t="shared" ref="C16:C27" si="21">1+C15</f>
        <v>3</v>
      </c>
      <c r="D16" s="8" t="s">
        <v>57</v>
      </c>
      <c r="E16" s="1">
        <v>426</v>
      </c>
      <c r="F16" s="1">
        <v>1</v>
      </c>
      <c r="G16" s="65">
        <f t="shared" si="0"/>
        <v>426</v>
      </c>
      <c r="H16" s="66">
        <v>1</v>
      </c>
      <c r="I16" s="65">
        <f t="shared" si="1"/>
        <v>426</v>
      </c>
      <c r="J16" s="61">
        <v>1</v>
      </c>
      <c r="K16" s="65">
        <f t="shared" si="13"/>
        <v>426</v>
      </c>
      <c r="L16" s="53">
        <v>100000</v>
      </c>
      <c r="M16" s="54">
        <f t="shared" si="2"/>
        <v>42600000</v>
      </c>
      <c r="N16" s="3">
        <f>+K16*$N$11</f>
        <v>0</v>
      </c>
      <c r="O16" s="53">
        <f t="shared" si="3"/>
        <v>0</v>
      </c>
      <c r="P16" s="53">
        <f>+M16*$P$11</f>
        <v>0</v>
      </c>
      <c r="Q16" s="53">
        <f>+M16*$Q$11</f>
        <v>191700</v>
      </c>
      <c r="R16" s="55">
        <f>SUM(N16:Q16)</f>
        <v>191700</v>
      </c>
      <c r="S16" s="3">
        <f t="shared" si="14"/>
        <v>60016000</v>
      </c>
      <c r="T16" s="53">
        <f t="shared" si="15"/>
        <v>6202498.8907551998</v>
      </c>
      <c r="U16" s="53">
        <f t="shared" si="16"/>
        <v>300080</v>
      </c>
      <c r="V16" s="53">
        <f t="shared" si="4"/>
        <v>720192</v>
      </c>
      <c r="W16" s="53">
        <f t="shared" si="5"/>
        <v>2217580.457136</v>
      </c>
      <c r="X16" s="53">
        <f t="shared" si="6"/>
        <v>0</v>
      </c>
      <c r="Y16" s="67">
        <f t="shared" si="7"/>
        <v>9440351.3478912003</v>
      </c>
      <c r="Z16" s="56">
        <f t="shared" si="17"/>
        <v>65290064</v>
      </c>
      <c r="AA16" s="3">
        <f t="shared" si="8"/>
        <v>13058013</v>
      </c>
      <c r="AB16" s="57">
        <f t="shared" si="18"/>
        <v>0.20000000306325325</v>
      </c>
      <c r="AC16" s="56">
        <f t="shared" si="9"/>
        <v>42600000</v>
      </c>
      <c r="AD16" s="3">
        <f t="shared" si="10"/>
        <v>191700</v>
      </c>
      <c r="AE16" s="3">
        <f t="shared" si="19"/>
        <v>9440351.3478912003</v>
      </c>
      <c r="AF16" s="58">
        <f t="shared" si="20"/>
        <v>13058013</v>
      </c>
      <c r="AG16" s="68">
        <f t="shared" si="11"/>
        <v>-0.34789120033383369</v>
      </c>
      <c r="AI16" s="3">
        <f>+K16*(175380*1.0577)</f>
        <v>79022755.475999996</v>
      </c>
      <c r="AJ16" s="70">
        <f t="shared" si="12"/>
        <v>185499.42599999998</v>
      </c>
      <c r="AK16" s="179">
        <f>+AI16/$AI$30</f>
        <v>2.6975696614265389E-2</v>
      </c>
      <c r="AM16" s="3"/>
      <c r="AN16" s="3"/>
    </row>
    <row r="17" spans="1:40">
      <c r="A17" s="580"/>
      <c r="B17" s="581"/>
      <c r="C17" s="51">
        <f t="shared" si="21"/>
        <v>4</v>
      </c>
      <c r="D17" s="8" t="s">
        <v>58</v>
      </c>
      <c r="E17" s="1">
        <v>1142</v>
      </c>
      <c r="F17" s="1">
        <v>1</v>
      </c>
      <c r="G17" s="65">
        <f t="shared" si="0"/>
        <v>1142</v>
      </c>
      <c r="H17" s="66">
        <v>1</v>
      </c>
      <c r="I17" s="65">
        <f t="shared" si="1"/>
        <v>1142</v>
      </c>
      <c r="J17" s="61">
        <v>1</v>
      </c>
      <c r="K17" s="65">
        <f t="shared" si="13"/>
        <v>1142</v>
      </c>
      <c r="L17" s="53">
        <v>100000</v>
      </c>
      <c r="M17" s="54">
        <f t="shared" si="2"/>
        <v>114200000</v>
      </c>
      <c r="N17" s="3">
        <f t="shared" ref="N17:N28" si="22">+K17*$N$11</f>
        <v>0</v>
      </c>
      <c r="O17" s="53">
        <f t="shared" si="3"/>
        <v>0</v>
      </c>
      <c r="P17" s="53">
        <f t="shared" ref="P17:P27" si="23">+M17*$P$11</f>
        <v>0</v>
      </c>
      <c r="Q17" s="53">
        <f>+M17*$Q$11</f>
        <v>513899.99999999994</v>
      </c>
      <c r="R17" s="55">
        <f t="shared" ref="R17:R27" si="24">SUM(N17:Q17)</f>
        <v>513899.99999999994</v>
      </c>
      <c r="S17" s="3">
        <f t="shared" si="14"/>
        <v>160889000</v>
      </c>
      <c r="T17" s="53">
        <f t="shared" si="15"/>
        <v>16627463.4103358</v>
      </c>
      <c r="U17" s="53">
        <f t="shared" si="16"/>
        <v>804445</v>
      </c>
      <c r="V17" s="53">
        <f t="shared" si="4"/>
        <v>1930668</v>
      </c>
      <c r="W17" s="53">
        <f t="shared" si="5"/>
        <v>5944819.7508690003</v>
      </c>
      <c r="X17" s="53">
        <f t="shared" si="6"/>
        <v>0</v>
      </c>
      <c r="Y17" s="67">
        <f t="shared" si="7"/>
        <v>25307396.1612048</v>
      </c>
      <c r="Z17" s="56">
        <f t="shared" si="17"/>
        <v>175026620</v>
      </c>
      <c r="AA17" s="3">
        <f t="shared" si="8"/>
        <v>35005324</v>
      </c>
      <c r="AB17" s="57">
        <f t="shared" si="18"/>
        <v>0.2</v>
      </c>
      <c r="AC17" s="56">
        <f t="shared" si="9"/>
        <v>114200000</v>
      </c>
      <c r="AD17" s="3">
        <f t="shared" si="10"/>
        <v>513899.99999999994</v>
      </c>
      <c r="AE17" s="3">
        <f t="shared" si="19"/>
        <v>25307396.1612048</v>
      </c>
      <c r="AF17" s="58">
        <f t="shared" si="20"/>
        <v>35005324</v>
      </c>
      <c r="AG17" s="68">
        <f t="shared" si="11"/>
        <v>-0.16120480000972748</v>
      </c>
      <c r="AI17" s="3">
        <f>+K17*(165380*1.0577)</f>
        <v>199761410.49200001</v>
      </c>
      <c r="AJ17" s="3">
        <f t="shared" si="12"/>
        <v>174922.42600000001</v>
      </c>
      <c r="AK17" s="179">
        <f>+AI17/$AI$30</f>
        <v>6.8191790734335081E-2</v>
      </c>
      <c r="AM17" s="3"/>
      <c r="AN17" s="3">
        <f>90000*1497</f>
        <v>134730000</v>
      </c>
    </row>
    <row r="18" spans="1:40">
      <c r="A18" s="580"/>
      <c r="B18" s="581"/>
      <c r="C18" s="51">
        <f t="shared" si="21"/>
        <v>5</v>
      </c>
      <c r="D18" s="8" t="s">
        <v>59</v>
      </c>
      <c r="E18" s="1">
        <v>1497</v>
      </c>
      <c r="F18" s="1">
        <v>1</v>
      </c>
      <c r="G18" s="65">
        <f t="shared" si="0"/>
        <v>1497</v>
      </c>
      <c r="H18" s="66">
        <v>1</v>
      </c>
      <c r="I18" s="65">
        <f t="shared" si="1"/>
        <v>1497</v>
      </c>
      <c r="J18" s="61">
        <v>1</v>
      </c>
      <c r="K18" s="65">
        <f t="shared" si="13"/>
        <v>1497</v>
      </c>
      <c r="L18" s="53">
        <v>100000</v>
      </c>
      <c r="M18" s="54">
        <f t="shared" si="2"/>
        <v>149700000</v>
      </c>
      <c r="N18" s="3">
        <f t="shared" si="22"/>
        <v>0</v>
      </c>
      <c r="O18" s="53">
        <f t="shared" si="3"/>
        <v>0</v>
      </c>
      <c r="P18" s="53">
        <f t="shared" si="23"/>
        <v>0</v>
      </c>
      <c r="Q18" s="53">
        <f t="shared" ref="Q18:Q27" si="25">+M18*$Q$11</f>
        <v>673650</v>
      </c>
      <c r="R18" s="55">
        <f t="shared" si="24"/>
        <v>673650</v>
      </c>
      <c r="S18" s="3">
        <f t="shared" si="14"/>
        <v>210903000</v>
      </c>
      <c r="T18" s="53">
        <f t="shared" si="15"/>
        <v>21796281.384246599</v>
      </c>
      <c r="U18" s="53">
        <f t="shared" si="16"/>
        <v>1054515</v>
      </c>
      <c r="V18" s="53">
        <f t="shared" si="4"/>
        <v>2530836</v>
      </c>
      <c r="W18" s="53">
        <f t="shared" si="5"/>
        <v>7792828.098363</v>
      </c>
      <c r="X18" s="53">
        <f t="shared" si="6"/>
        <v>0</v>
      </c>
      <c r="Y18" s="67">
        <f t="shared" si="7"/>
        <v>33174460.4826096</v>
      </c>
      <c r="Z18" s="56">
        <f t="shared" si="17"/>
        <v>229435138</v>
      </c>
      <c r="AA18" s="3">
        <f t="shared" si="8"/>
        <v>45887028</v>
      </c>
      <c r="AB18" s="57">
        <f t="shared" si="18"/>
        <v>0.20000000174341212</v>
      </c>
      <c r="AC18" s="56">
        <f t="shared" si="9"/>
        <v>149700000</v>
      </c>
      <c r="AD18" s="3">
        <f t="shared" si="10"/>
        <v>673650</v>
      </c>
      <c r="AE18" s="3">
        <f t="shared" si="19"/>
        <v>33174460.4826096</v>
      </c>
      <c r="AF18" s="58">
        <f t="shared" si="20"/>
        <v>45887028</v>
      </c>
      <c r="AG18" s="68">
        <f t="shared" si="11"/>
        <v>-0.48260959982872009</v>
      </c>
      <c r="AI18" s="3">
        <f>+K18*(175380*1.0577)</f>
        <v>277692640.722</v>
      </c>
      <c r="AJ18" s="70">
        <f t="shared" si="12"/>
        <v>185499.42600000001</v>
      </c>
      <c r="AK18" s="179">
        <f>+AI18/$AI$30</f>
        <v>9.4794877538862177E-2</v>
      </c>
      <c r="AL18" s="1">
        <f>185499+90000</f>
        <v>275499</v>
      </c>
      <c r="AM18" s="3">
        <f>+AL18*2</f>
        <v>550998</v>
      </c>
    </row>
    <row r="19" spans="1:40" ht="22.5">
      <c r="A19" s="580"/>
      <c r="B19" s="581"/>
      <c r="C19" s="51"/>
      <c r="D19" s="8" t="s">
        <v>60</v>
      </c>
      <c r="E19" s="1">
        <v>245</v>
      </c>
      <c r="F19" s="1">
        <v>1</v>
      </c>
      <c r="G19" s="65">
        <f t="shared" ref="G19:G21" si="26">+E19/F19</f>
        <v>245</v>
      </c>
      <c r="H19" s="66">
        <v>1</v>
      </c>
      <c r="I19" s="65">
        <f t="shared" ref="I19:I21" si="27">+G19*H19</f>
        <v>245</v>
      </c>
      <c r="J19" s="61">
        <v>2</v>
      </c>
      <c r="K19" s="65">
        <f t="shared" ref="K19:K21" si="28">+I19*J19</f>
        <v>490</v>
      </c>
      <c r="L19" s="53">
        <v>58722.556499999999</v>
      </c>
      <c r="M19" s="54">
        <f>+K19*L19</f>
        <v>28774052.684999999</v>
      </c>
      <c r="N19" s="3">
        <v>0</v>
      </c>
      <c r="O19" s="53">
        <f t="shared" ref="O19:O21" si="29">+M19*$O$11</f>
        <v>0</v>
      </c>
      <c r="P19" s="53">
        <f>+M19*$P$11</f>
        <v>0</v>
      </c>
      <c r="Q19" s="53">
        <f t="shared" ref="Q19:Q21" si="30">+M19*$Q$11</f>
        <v>129483.23708249998</v>
      </c>
      <c r="R19" s="55">
        <f>SUM(N19:Q19)</f>
        <v>129483.23708249998</v>
      </c>
      <c r="S19" s="3">
        <f>ROUND((+M19+R19)/(1-$S$11),-3)</f>
        <v>40538000</v>
      </c>
      <c r="T19" s="53">
        <f>+S19*$T$10</f>
        <v>4189497.8011435997</v>
      </c>
      <c r="U19" s="53">
        <f t="shared" ref="U19:U21" si="31">+S19*$U$10</f>
        <v>202690</v>
      </c>
      <c r="V19" s="53">
        <f t="shared" ref="V19:V21" si="32">+S19*$V$10</f>
        <v>486456</v>
      </c>
      <c r="W19" s="53">
        <f t="shared" ref="W19:W21" si="33">+S19*$W$10</f>
        <v>1497871.8436980001</v>
      </c>
      <c r="X19" s="53">
        <f t="shared" ref="X19:X21" si="34">+S19*$X$10</f>
        <v>0</v>
      </c>
      <c r="Y19" s="67">
        <f t="shared" ref="Y19:Y21" si="35">SUM(T19:X19)</f>
        <v>6376515.6448416002</v>
      </c>
      <c r="Z19" s="181">
        <f>ROUND((+Y19+R19+M19)/(1-$Z$10),0)*1.15</f>
        <v>50715073.599999994</v>
      </c>
      <c r="AA19" s="3">
        <f t="shared" ref="AA19:AA21" si="36">ROUND((+Z19-Y19-R19-M19),0)</f>
        <v>15435022</v>
      </c>
      <c r="AB19" s="57">
        <f t="shared" ref="AB19:AB21" si="37">+AA19/Z19</f>
        <v>0.30434781819975515</v>
      </c>
      <c r="AC19" s="56">
        <f t="shared" ref="AC19:AC21" si="38">+M19</f>
        <v>28774052.684999999</v>
      </c>
      <c r="AD19" s="3">
        <f t="shared" ref="AD19:AD21" si="39">+R19</f>
        <v>129483.23708249998</v>
      </c>
      <c r="AE19" s="3">
        <f t="shared" ref="AE19:AE21" si="40">+Y19</f>
        <v>6376515.6448416002</v>
      </c>
      <c r="AF19" s="58">
        <f t="shared" ref="AF19:AF21" si="41">+AA19</f>
        <v>15435022</v>
      </c>
      <c r="AG19" s="68">
        <f t="shared" ref="AG19:AG21" si="42">+Z19-AC19-AD19-AE19-AF19</f>
        <v>3.307589516043663E-2</v>
      </c>
      <c r="AI19" s="3">
        <f>+Z19</f>
        <v>50715073.599999994</v>
      </c>
      <c r="AJ19" s="70">
        <f>+AI19/187</f>
        <v>271203.60213903739</v>
      </c>
      <c r="AK19" s="179"/>
      <c r="AL19" s="53">
        <f>+AL18</f>
        <v>275499</v>
      </c>
      <c r="AM19" s="3">
        <f>+AL19*4</f>
        <v>1101996</v>
      </c>
      <c r="AN19" s="180">
        <f>+Z19/245</f>
        <v>207000.30040816325</v>
      </c>
    </row>
    <row r="20" spans="1:40" ht="22.5">
      <c r="A20" s="580"/>
      <c r="B20" s="581"/>
      <c r="C20" s="51"/>
      <c r="D20" s="8" t="s">
        <v>61</v>
      </c>
      <c r="E20" s="1">
        <v>245</v>
      </c>
      <c r="F20" s="1">
        <v>1</v>
      </c>
      <c r="G20" s="65">
        <f t="shared" si="26"/>
        <v>245</v>
      </c>
      <c r="H20" s="66">
        <v>1</v>
      </c>
      <c r="I20" s="65">
        <f t="shared" si="27"/>
        <v>245</v>
      </c>
      <c r="J20" s="61">
        <v>4</v>
      </c>
      <c r="K20" s="65">
        <f t="shared" si="28"/>
        <v>980</v>
      </c>
      <c r="L20" s="53">
        <f>+L19</f>
        <v>58722.556499999999</v>
      </c>
      <c r="M20" s="54">
        <f t="shared" ref="M20:M21" si="43">+K20*L20</f>
        <v>57548105.369999997</v>
      </c>
      <c r="N20" s="3">
        <v>0</v>
      </c>
      <c r="O20" s="53">
        <f t="shared" si="29"/>
        <v>0</v>
      </c>
      <c r="P20" s="53">
        <f t="shared" ref="P20:P21" si="44">+M20*$P$11</f>
        <v>0</v>
      </c>
      <c r="Q20" s="53">
        <f t="shared" si="30"/>
        <v>258966.47416499996</v>
      </c>
      <c r="R20" s="55">
        <f>SUM(N20:Q20)</f>
        <v>258966.47416499996</v>
      </c>
      <c r="S20" s="3">
        <f>ROUND((+M20+R20)/(1-$S$11),-3)</f>
        <v>81076000</v>
      </c>
      <c r="T20" s="53">
        <f>+S20*$T$10</f>
        <v>8378995.6022871993</v>
      </c>
      <c r="U20" s="53">
        <f t="shared" si="31"/>
        <v>405380</v>
      </c>
      <c r="V20" s="53">
        <f t="shared" si="32"/>
        <v>972912</v>
      </c>
      <c r="W20" s="53">
        <f t="shared" si="33"/>
        <v>2995743.6873960001</v>
      </c>
      <c r="X20" s="53">
        <f t="shared" si="34"/>
        <v>0</v>
      </c>
      <c r="Y20" s="67">
        <f>SUM(T20:X20)</f>
        <v>12753031.2896832</v>
      </c>
      <c r="Z20" s="181">
        <f>ROUND((+Y20+R20+M20)/(1-$Z$10),0)*1.15</f>
        <v>101430148.34999999</v>
      </c>
      <c r="AA20" s="3">
        <f>ROUND((+Z20-Y20-R20-M20),0)</f>
        <v>30870045</v>
      </c>
      <c r="AB20" s="57">
        <f t="shared" si="37"/>
        <v>0.30434782460810628</v>
      </c>
      <c r="AC20" s="56">
        <f t="shared" si="38"/>
        <v>57548105.369999997</v>
      </c>
      <c r="AD20" s="3">
        <f t="shared" si="39"/>
        <v>258966.47416499996</v>
      </c>
      <c r="AE20" s="3">
        <f t="shared" si="40"/>
        <v>12753031.2896832</v>
      </c>
      <c r="AF20" s="58">
        <f t="shared" si="41"/>
        <v>30870045</v>
      </c>
      <c r="AG20" s="68">
        <f t="shared" si="42"/>
        <v>0.21615179628133774</v>
      </c>
      <c r="AI20" s="3">
        <f>+Z20</f>
        <v>101430148.34999999</v>
      </c>
      <c r="AJ20" s="70">
        <f>+AI20/187</f>
        <v>542407.21042780741</v>
      </c>
      <c r="AK20" s="179"/>
      <c r="AL20" s="1">
        <f>+AL18</f>
        <v>275499</v>
      </c>
      <c r="AM20" s="3">
        <f>+AM18</f>
        <v>550998</v>
      </c>
      <c r="AN20" s="180">
        <f>+Z20/245</f>
        <v>414000.60551020404</v>
      </c>
    </row>
    <row r="21" spans="1:40" ht="22.5">
      <c r="A21" s="580"/>
      <c r="B21" s="581"/>
      <c r="C21" s="51"/>
      <c r="D21" s="8" t="s">
        <v>62</v>
      </c>
      <c r="E21" s="1">
        <v>245</v>
      </c>
      <c r="F21" s="1">
        <v>1</v>
      </c>
      <c r="G21" s="65">
        <f t="shared" si="26"/>
        <v>245</v>
      </c>
      <c r="H21" s="66">
        <v>1</v>
      </c>
      <c r="I21" s="65">
        <f t="shared" si="27"/>
        <v>245</v>
      </c>
      <c r="J21" s="61">
        <v>2</v>
      </c>
      <c r="K21" s="65">
        <f t="shared" si="28"/>
        <v>490</v>
      </c>
      <c r="L21" s="53">
        <f>+L20</f>
        <v>58722.556499999999</v>
      </c>
      <c r="M21" s="54">
        <f t="shared" si="43"/>
        <v>28774052.684999999</v>
      </c>
      <c r="N21" s="3">
        <f>+N19</f>
        <v>0</v>
      </c>
      <c r="O21" s="53">
        <f t="shared" si="29"/>
        <v>0</v>
      </c>
      <c r="P21" s="53">
        <f t="shared" si="44"/>
        <v>0</v>
      </c>
      <c r="Q21" s="53">
        <f t="shared" si="30"/>
        <v>129483.23708249998</v>
      </c>
      <c r="R21" s="55">
        <f t="shared" ref="R21" si="45">SUM(N21:Q21)</f>
        <v>129483.23708249998</v>
      </c>
      <c r="S21" s="3">
        <f t="shared" ref="S21" si="46">ROUND((+M21+R21)/(1-$S$11),-3)</f>
        <v>40538000</v>
      </c>
      <c r="T21" s="53">
        <f t="shared" ref="T21" si="47">+S21*$T$10</f>
        <v>4189497.8011435997</v>
      </c>
      <c r="U21" s="53">
        <f t="shared" si="31"/>
        <v>202690</v>
      </c>
      <c r="V21" s="53">
        <f t="shared" si="32"/>
        <v>486456</v>
      </c>
      <c r="W21" s="53">
        <f t="shared" si="33"/>
        <v>1497871.8436980001</v>
      </c>
      <c r="X21" s="53">
        <f t="shared" si="34"/>
        <v>0</v>
      </c>
      <c r="Y21" s="67">
        <f t="shared" si="35"/>
        <v>6376515.6448416002</v>
      </c>
      <c r="Z21" s="181">
        <f>ROUND((+Y21+R21+M21)/(1-$Z$10),0)*1.15</f>
        <v>50715073.599999994</v>
      </c>
      <c r="AA21" s="3">
        <f t="shared" si="36"/>
        <v>15435022</v>
      </c>
      <c r="AB21" s="57">
        <f t="shared" si="37"/>
        <v>0.30434781819975515</v>
      </c>
      <c r="AC21" s="56">
        <f t="shared" si="38"/>
        <v>28774052.684999999</v>
      </c>
      <c r="AD21" s="3">
        <f t="shared" si="39"/>
        <v>129483.23708249998</v>
      </c>
      <c r="AE21" s="3">
        <f t="shared" si="40"/>
        <v>6376515.6448416002</v>
      </c>
      <c r="AF21" s="58">
        <f t="shared" si="41"/>
        <v>15435022</v>
      </c>
      <c r="AG21" s="68">
        <f t="shared" si="42"/>
        <v>3.307589516043663E-2</v>
      </c>
      <c r="AI21" s="3">
        <f>+Z21</f>
        <v>50715073.599999994</v>
      </c>
      <c r="AJ21" s="70">
        <f>+AI21/187</f>
        <v>271203.60213903739</v>
      </c>
      <c r="AK21" s="179"/>
      <c r="AM21" s="3"/>
      <c r="AN21" s="180">
        <f>+Z21/245</f>
        <v>207000.30040816325</v>
      </c>
    </row>
    <row r="22" spans="1:40">
      <c r="A22" s="580"/>
      <c r="B22" s="581"/>
      <c r="C22" s="51">
        <f>1+C18</f>
        <v>6</v>
      </c>
      <c r="D22" s="8" t="s">
        <v>63</v>
      </c>
      <c r="E22" s="1">
        <v>1970</v>
      </c>
      <c r="F22" s="1">
        <v>1</v>
      </c>
      <c r="G22" s="65">
        <f t="shared" si="0"/>
        <v>1970</v>
      </c>
      <c r="H22" s="66">
        <v>1</v>
      </c>
      <c r="I22" s="65">
        <f t="shared" si="1"/>
        <v>1970</v>
      </c>
      <c r="J22" s="61">
        <v>1</v>
      </c>
      <c r="K22" s="65">
        <f t="shared" si="13"/>
        <v>1970</v>
      </c>
      <c r="L22" s="53">
        <f>+L17</f>
        <v>100000</v>
      </c>
      <c r="M22" s="54">
        <f t="shared" si="2"/>
        <v>197000000</v>
      </c>
      <c r="N22" s="3">
        <f t="shared" si="22"/>
        <v>0</v>
      </c>
      <c r="O22" s="53">
        <f t="shared" si="3"/>
        <v>0</v>
      </c>
      <c r="P22" s="53">
        <f t="shared" si="23"/>
        <v>0</v>
      </c>
      <c r="Q22" s="53">
        <f t="shared" si="25"/>
        <v>886499.99999999988</v>
      </c>
      <c r="R22" s="55">
        <f t="shared" si="24"/>
        <v>886499.99999999988</v>
      </c>
      <c r="S22" s="3">
        <f t="shared" si="14"/>
        <v>277541000</v>
      </c>
      <c r="T22" s="53">
        <f t="shared" si="15"/>
        <v>28683146.904810198</v>
      </c>
      <c r="U22" s="53">
        <f t="shared" si="16"/>
        <v>1387705</v>
      </c>
      <c r="V22" s="53">
        <f t="shared" si="4"/>
        <v>3330492</v>
      </c>
      <c r="W22" s="53">
        <f t="shared" si="5"/>
        <v>10255090.270161001</v>
      </c>
      <c r="X22" s="53">
        <f t="shared" si="6"/>
        <v>0</v>
      </c>
      <c r="Y22" s="67">
        <f t="shared" si="7"/>
        <v>43656434.174971201</v>
      </c>
      <c r="Z22" s="56">
        <f t="shared" si="17"/>
        <v>301928668</v>
      </c>
      <c r="AA22" s="3">
        <f t="shared" si="8"/>
        <v>60385734</v>
      </c>
      <c r="AB22" s="57">
        <f t="shared" si="18"/>
        <v>0.20000000132481624</v>
      </c>
      <c r="AC22" s="56">
        <f t="shared" si="9"/>
        <v>197000000</v>
      </c>
      <c r="AD22" s="3">
        <f t="shared" si="10"/>
        <v>886499.99999999988</v>
      </c>
      <c r="AE22" s="3">
        <f t="shared" si="19"/>
        <v>43656434.174971201</v>
      </c>
      <c r="AF22" s="58">
        <f t="shared" si="20"/>
        <v>60385734</v>
      </c>
      <c r="AG22" s="68">
        <f t="shared" si="11"/>
        <v>-0.17497120052576065</v>
      </c>
      <c r="AI22" s="3">
        <f t="shared" ref="AI22:AI27" si="48">+K22*(165380*1.0577)</f>
        <v>344597179.22000003</v>
      </c>
      <c r="AJ22" s="3">
        <f t="shared" si="12"/>
        <v>174922.42600000001</v>
      </c>
      <c r="AK22" s="179">
        <f t="shared" ref="AK22:AK30" si="49">+AI22/$AI$30</f>
        <v>0.1176338246467952</v>
      </c>
      <c r="AM22" s="3"/>
      <c r="AN22" s="3"/>
    </row>
    <row r="23" spans="1:40" ht="22.5">
      <c r="A23" s="580"/>
      <c r="B23" s="581"/>
      <c r="C23" s="51">
        <f t="shared" si="21"/>
        <v>7</v>
      </c>
      <c r="D23" s="8" t="s">
        <v>64</v>
      </c>
      <c r="E23" s="1">
        <v>846</v>
      </c>
      <c r="F23" s="1">
        <v>1</v>
      </c>
      <c r="G23" s="65">
        <f t="shared" si="0"/>
        <v>846</v>
      </c>
      <c r="H23" s="66">
        <v>1</v>
      </c>
      <c r="I23" s="65">
        <f t="shared" si="1"/>
        <v>846</v>
      </c>
      <c r="J23" s="61">
        <v>1</v>
      </c>
      <c r="K23" s="65">
        <f t="shared" si="13"/>
        <v>846</v>
      </c>
      <c r="L23" s="53">
        <f>+L22</f>
        <v>100000</v>
      </c>
      <c r="M23" s="54">
        <f t="shared" si="2"/>
        <v>84600000</v>
      </c>
      <c r="N23" s="3">
        <f t="shared" si="22"/>
        <v>0</v>
      </c>
      <c r="O23" s="53">
        <f t="shared" si="3"/>
        <v>0</v>
      </c>
      <c r="P23" s="53">
        <f t="shared" si="23"/>
        <v>0</v>
      </c>
      <c r="Q23" s="53">
        <f t="shared" si="25"/>
        <v>380700</v>
      </c>
      <c r="R23" s="55">
        <f t="shared" si="24"/>
        <v>380700</v>
      </c>
      <c r="S23" s="3">
        <f t="shared" si="14"/>
        <v>119188000</v>
      </c>
      <c r="T23" s="53">
        <f t="shared" si="15"/>
        <v>12317772.5571736</v>
      </c>
      <c r="U23" s="53">
        <f t="shared" si="16"/>
        <v>595940</v>
      </c>
      <c r="V23" s="53">
        <f t="shared" si="4"/>
        <v>1430256</v>
      </c>
      <c r="W23" s="53">
        <f t="shared" si="5"/>
        <v>4403975.2653480005</v>
      </c>
      <c r="X23" s="53">
        <f t="shared" si="6"/>
        <v>0</v>
      </c>
      <c r="Y23" s="67">
        <f t="shared" si="7"/>
        <v>18747943.822521601</v>
      </c>
      <c r="Z23" s="56">
        <f t="shared" si="17"/>
        <v>129660805</v>
      </c>
      <c r="AA23" s="3">
        <f t="shared" si="8"/>
        <v>25932161</v>
      </c>
      <c r="AB23" s="57">
        <f t="shared" si="18"/>
        <v>0.2</v>
      </c>
      <c r="AC23" s="56">
        <f t="shared" si="9"/>
        <v>84600000</v>
      </c>
      <c r="AD23" s="3">
        <f t="shared" si="10"/>
        <v>380700</v>
      </c>
      <c r="AE23" s="3">
        <f t="shared" si="19"/>
        <v>18747943.822521601</v>
      </c>
      <c r="AF23" s="58">
        <f t="shared" si="20"/>
        <v>25932161</v>
      </c>
      <c r="AG23" s="68">
        <f t="shared" si="11"/>
        <v>0.17747839912772179</v>
      </c>
      <c r="AI23" s="3">
        <f t="shared" si="48"/>
        <v>147984372.396</v>
      </c>
      <c r="AJ23" s="3">
        <f t="shared" si="12"/>
        <v>174922.42600000001</v>
      </c>
      <c r="AK23" s="179">
        <f t="shared" si="49"/>
        <v>5.051686073664402E-2</v>
      </c>
      <c r="AM23" s="3"/>
      <c r="AN23" s="3"/>
    </row>
    <row r="24" spans="1:40" ht="33.75">
      <c r="A24" s="580"/>
      <c r="B24" s="581"/>
      <c r="C24" s="51">
        <f t="shared" si="21"/>
        <v>8</v>
      </c>
      <c r="D24" s="8" t="s">
        <v>65</v>
      </c>
      <c r="E24" s="1">
        <v>644</v>
      </c>
      <c r="F24" s="1">
        <v>1</v>
      </c>
      <c r="G24" s="65">
        <f t="shared" si="0"/>
        <v>644</v>
      </c>
      <c r="H24" s="66">
        <v>1</v>
      </c>
      <c r="I24" s="65">
        <f t="shared" si="1"/>
        <v>644</v>
      </c>
      <c r="J24" s="61">
        <v>1</v>
      </c>
      <c r="K24" s="65">
        <f t="shared" si="13"/>
        <v>644</v>
      </c>
      <c r="L24" s="53">
        <f>+L23</f>
        <v>100000</v>
      </c>
      <c r="M24" s="54">
        <f t="shared" si="2"/>
        <v>64400000</v>
      </c>
      <c r="N24" s="3">
        <f t="shared" si="22"/>
        <v>0</v>
      </c>
      <c r="O24" s="53">
        <f t="shared" si="3"/>
        <v>0</v>
      </c>
      <c r="P24" s="53">
        <f t="shared" si="23"/>
        <v>0</v>
      </c>
      <c r="Q24" s="53">
        <f t="shared" si="25"/>
        <v>289800</v>
      </c>
      <c r="R24" s="55">
        <f t="shared" si="24"/>
        <v>289800</v>
      </c>
      <c r="S24" s="3">
        <f t="shared" si="14"/>
        <v>90729000</v>
      </c>
      <c r="T24" s="53">
        <f t="shared" si="15"/>
        <v>9376608.2687838003</v>
      </c>
      <c r="U24" s="53">
        <f t="shared" si="16"/>
        <v>453645</v>
      </c>
      <c r="V24" s="53">
        <f t="shared" si="4"/>
        <v>1088748</v>
      </c>
      <c r="W24" s="53">
        <f t="shared" si="5"/>
        <v>3352420.3095090003</v>
      </c>
      <c r="X24" s="53">
        <f t="shared" si="6"/>
        <v>0</v>
      </c>
      <c r="Y24" s="67">
        <f t="shared" si="7"/>
        <v>14271421.5782928</v>
      </c>
      <c r="Z24" s="56">
        <f t="shared" si="17"/>
        <v>98701527</v>
      </c>
      <c r="AA24" s="3">
        <f t="shared" si="8"/>
        <v>19740305</v>
      </c>
      <c r="AB24" s="57">
        <f t="shared" si="18"/>
        <v>0.1999999959473778</v>
      </c>
      <c r="AC24" s="56">
        <f t="shared" si="9"/>
        <v>64400000</v>
      </c>
      <c r="AD24" s="3">
        <f t="shared" si="10"/>
        <v>289800</v>
      </c>
      <c r="AE24" s="3">
        <f t="shared" si="19"/>
        <v>14271421.5782928</v>
      </c>
      <c r="AF24" s="58">
        <f t="shared" si="20"/>
        <v>19740305</v>
      </c>
      <c r="AG24" s="68">
        <f t="shared" si="11"/>
        <v>0.42170719802379608</v>
      </c>
      <c r="AI24" s="3">
        <f t="shared" si="48"/>
        <v>112650042.34400001</v>
      </c>
      <c r="AJ24" s="3">
        <f t="shared" si="12"/>
        <v>174922.42600000001</v>
      </c>
      <c r="AK24" s="179">
        <f t="shared" si="49"/>
        <v>3.8454915265246754E-2</v>
      </c>
      <c r="AM24" s="3"/>
      <c r="AN24" s="3"/>
    </row>
    <row r="25" spans="1:40">
      <c r="A25" s="580"/>
      <c r="B25" s="581"/>
      <c r="C25" s="51">
        <f t="shared" si="21"/>
        <v>9</v>
      </c>
      <c r="D25" s="8" t="s">
        <v>66</v>
      </c>
      <c r="E25" s="1">
        <v>4538</v>
      </c>
      <c r="F25" s="1">
        <v>1</v>
      </c>
      <c r="G25" s="65">
        <f t="shared" si="0"/>
        <v>4538</v>
      </c>
      <c r="H25" s="66">
        <v>1</v>
      </c>
      <c r="I25" s="65">
        <f t="shared" si="1"/>
        <v>4538</v>
      </c>
      <c r="J25" s="61">
        <v>1</v>
      </c>
      <c r="K25" s="65">
        <f t="shared" si="13"/>
        <v>4538</v>
      </c>
      <c r="L25" s="53">
        <f>+L24</f>
        <v>100000</v>
      </c>
      <c r="M25" s="54">
        <f t="shared" si="2"/>
        <v>453800000</v>
      </c>
      <c r="N25" s="3">
        <f t="shared" si="22"/>
        <v>0</v>
      </c>
      <c r="O25" s="53">
        <f t="shared" si="3"/>
        <v>0</v>
      </c>
      <c r="P25" s="53">
        <f t="shared" si="23"/>
        <v>0</v>
      </c>
      <c r="Q25" s="53">
        <f t="shared" si="25"/>
        <v>2042099.9999999998</v>
      </c>
      <c r="R25" s="55">
        <f t="shared" si="24"/>
        <v>2042099.9999999998</v>
      </c>
      <c r="S25" s="3">
        <f t="shared" si="14"/>
        <v>639330000</v>
      </c>
      <c r="T25" s="53">
        <f t="shared" si="15"/>
        <v>66073107.435125999</v>
      </c>
      <c r="U25" s="53">
        <f t="shared" si="16"/>
        <v>3196650</v>
      </c>
      <c r="V25" s="53">
        <f t="shared" si="4"/>
        <v>7671960</v>
      </c>
      <c r="W25" s="53">
        <f t="shared" si="5"/>
        <v>23623129.05993</v>
      </c>
      <c r="X25" s="53">
        <f t="shared" si="6"/>
        <v>0</v>
      </c>
      <c r="Y25" s="67">
        <f t="shared" si="7"/>
        <v>100564846.495056</v>
      </c>
      <c r="Z25" s="56">
        <f t="shared" si="17"/>
        <v>695508683</v>
      </c>
      <c r="AA25" s="3">
        <f t="shared" si="8"/>
        <v>139101737</v>
      </c>
      <c r="AB25" s="57">
        <f t="shared" si="18"/>
        <v>0.20000000057511863</v>
      </c>
      <c r="AC25" s="56">
        <f t="shared" si="9"/>
        <v>453800000</v>
      </c>
      <c r="AD25" s="3">
        <f t="shared" si="10"/>
        <v>2042099.9999999998</v>
      </c>
      <c r="AE25" s="3">
        <f t="shared" si="19"/>
        <v>100564846.495056</v>
      </c>
      <c r="AF25" s="58">
        <f t="shared" si="20"/>
        <v>139101737</v>
      </c>
      <c r="AG25" s="68">
        <f t="shared" si="11"/>
        <v>-0.49505600333213806</v>
      </c>
      <c r="AI25" s="3">
        <f t="shared" si="48"/>
        <v>793797969.18800008</v>
      </c>
      <c r="AJ25" s="3">
        <f t="shared" si="12"/>
        <v>174922.42600000001</v>
      </c>
      <c r="AK25" s="179">
        <f t="shared" si="49"/>
        <v>0.27097578489703383</v>
      </c>
      <c r="AM25" s="3"/>
      <c r="AN25" s="3"/>
    </row>
    <row r="26" spans="1:40">
      <c r="A26" s="580"/>
      <c r="B26" s="581"/>
      <c r="C26" s="51">
        <f t="shared" si="21"/>
        <v>10</v>
      </c>
      <c r="D26" s="8" t="s">
        <v>67</v>
      </c>
      <c r="E26" s="1">
        <v>364</v>
      </c>
      <c r="F26" s="1">
        <v>1</v>
      </c>
      <c r="G26" s="65">
        <f t="shared" si="0"/>
        <v>364</v>
      </c>
      <c r="H26" s="66">
        <v>1</v>
      </c>
      <c r="I26" s="65">
        <f t="shared" si="1"/>
        <v>364</v>
      </c>
      <c r="J26" s="61">
        <v>1</v>
      </c>
      <c r="K26" s="65">
        <f t="shared" si="13"/>
        <v>364</v>
      </c>
      <c r="L26" s="53">
        <f>+L25</f>
        <v>100000</v>
      </c>
      <c r="M26" s="54">
        <f t="shared" si="2"/>
        <v>36400000</v>
      </c>
      <c r="N26" s="3">
        <f t="shared" si="22"/>
        <v>0</v>
      </c>
      <c r="O26" s="53">
        <f t="shared" si="3"/>
        <v>0</v>
      </c>
      <c r="P26" s="53">
        <f t="shared" si="23"/>
        <v>0</v>
      </c>
      <c r="Q26" s="53">
        <f t="shared" si="25"/>
        <v>163800</v>
      </c>
      <c r="R26" s="55">
        <f t="shared" si="24"/>
        <v>163800</v>
      </c>
      <c r="S26" s="3">
        <f t="shared" si="14"/>
        <v>51282000</v>
      </c>
      <c r="T26" s="53">
        <f t="shared" si="15"/>
        <v>5299862.5052603995</v>
      </c>
      <c r="U26" s="53">
        <f t="shared" si="16"/>
        <v>256410</v>
      </c>
      <c r="V26" s="53">
        <f t="shared" si="4"/>
        <v>615384</v>
      </c>
      <c r="W26" s="53">
        <f t="shared" si="5"/>
        <v>1894860.720522</v>
      </c>
      <c r="X26" s="53">
        <f t="shared" si="6"/>
        <v>0</v>
      </c>
      <c r="Y26" s="67">
        <f t="shared" si="7"/>
        <v>8066517.2257824</v>
      </c>
      <c r="Z26" s="56">
        <f t="shared" si="17"/>
        <v>55787897</v>
      </c>
      <c r="AA26" s="3">
        <f t="shared" si="8"/>
        <v>11157580</v>
      </c>
      <c r="AB26" s="57">
        <f t="shared" si="18"/>
        <v>0.20000001075502094</v>
      </c>
      <c r="AC26" s="56">
        <f t="shared" si="9"/>
        <v>36400000</v>
      </c>
      <c r="AD26" s="3">
        <f t="shared" si="10"/>
        <v>163800</v>
      </c>
      <c r="AE26" s="3">
        <f t="shared" si="19"/>
        <v>8066517.2257824</v>
      </c>
      <c r="AF26" s="58">
        <f t="shared" si="20"/>
        <v>11157580</v>
      </c>
      <c r="AG26" s="68">
        <f t="shared" si="11"/>
        <v>-0.22578239999711514</v>
      </c>
      <c r="AI26" s="3">
        <f t="shared" si="48"/>
        <v>63671763.064000003</v>
      </c>
      <c r="AJ26" s="3">
        <f t="shared" si="12"/>
        <v>174922.42600000001</v>
      </c>
      <c r="AK26" s="179">
        <f t="shared" si="49"/>
        <v>2.1735386889052511E-2</v>
      </c>
      <c r="AM26" s="3"/>
      <c r="AN26" s="3"/>
    </row>
    <row r="27" spans="1:40" ht="33.75">
      <c r="A27" s="580"/>
      <c r="B27" s="581"/>
      <c r="C27" s="51">
        <f t="shared" si="21"/>
        <v>11</v>
      </c>
      <c r="D27" s="8" t="s">
        <v>68</v>
      </c>
      <c r="E27" s="1">
        <v>160</v>
      </c>
      <c r="F27" s="1">
        <v>1</v>
      </c>
      <c r="G27" s="65">
        <f t="shared" si="0"/>
        <v>160</v>
      </c>
      <c r="H27" s="66">
        <v>1</v>
      </c>
      <c r="I27" s="65">
        <f t="shared" si="1"/>
        <v>160</v>
      </c>
      <c r="J27" s="61">
        <v>1</v>
      </c>
      <c r="K27" s="65">
        <f t="shared" si="13"/>
        <v>160</v>
      </c>
      <c r="L27" s="53">
        <f>+L26</f>
        <v>100000</v>
      </c>
      <c r="M27" s="54">
        <f t="shared" si="2"/>
        <v>16000000</v>
      </c>
      <c r="N27" s="3">
        <f t="shared" si="22"/>
        <v>0</v>
      </c>
      <c r="O27" s="53">
        <f t="shared" si="3"/>
        <v>0</v>
      </c>
      <c r="P27" s="53">
        <f t="shared" si="23"/>
        <v>0</v>
      </c>
      <c r="Q27" s="53">
        <f t="shared" si="25"/>
        <v>72000</v>
      </c>
      <c r="R27" s="55">
        <f t="shared" si="24"/>
        <v>72000</v>
      </c>
      <c r="S27" s="3">
        <f t="shared" si="14"/>
        <v>22541000</v>
      </c>
      <c r="T27" s="53">
        <f t="shared" si="15"/>
        <v>2329554.2438102001</v>
      </c>
      <c r="U27" s="53">
        <f t="shared" si="16"/>
        <v>112705</v>
      </c>
      <c r="V27" s="53">
        <f t="shared" si="4"/>
        <v>270492</v>
      </c>
      <c r="W27" s="53">
        <f t="shared" si="5"/>
        <v>832885.91516099998</v>
      </c>
      <c r="X27" s="53">
        <f t="shared" si="6"/>
        <v>0</v>
      </c>
      <c r="Y27" s="67">
        <f t="shared" si="7"/>
        <v>3545637.1589712002</v>
      </c>
      <c r="Z27" s="56">
        <f t="shared" si="17"/>
        <v>24522046</v>
      </c>
      <c r="AA27" s="3">
        <f t="shared" si="8"/>
        <v>4904409</v>
      </c>
      <c r="AB27" s="57">
        <f t="shared" si="18"/>
        <v>0.19999999184407369</v>
      </c>
      <c r="AC27" s="56">
        <f t="shared" si="9"/>
        <v>16000000</v>
      </c>
      <c r="AD27" s="3">
        <f t="shared" si="10"/>
        <v>72000</v>
      </c>
      <c r="AE27" s="3">
        <f t="shared" si="19"/>
        <v>3545637.1589712002</v>
      </c>
      <c r="AF27" s="58">
        <f t="shared" si="20"/>
        <v>4904409</v>
      </c>
      <c r="AG27" s="68">
        <f t="shared" si="11"/>
        <v>-0.15897119976580143</v>
      </c>
      <c r="AI27" s="3">
        <f t="shared" si="48"/>
        <v>27987588.16</v>
      </c>
      <c r="AJ27" s="3">
        <f t="shared" si="12"/>
        <v>174922.42600000001</v>
      </c>
      <c r="AK27" s="179">
        <f t="shared" si="49"/>
        <v>9.5540162149681373E-3</v>
      </c>
      <c r="AM27" s="3"/>
      <c r="AN27" s="3"/>
    </row>
    <row r="28" spans="1:40">
      <c r="A28" s="580"/>
      <c r="B28" s="581"/>
      <c r="C28" s="51"/>
      <c r="D28" s="8"/>
      <c r="G28" s="65"/>
      <c r="H28" s="66"/>
      <c r="I28" s="65"/>
      <c r="J28" s="61"/>
      <c r="K28" s="65"/>
      <c r="L28" s="53"/>
      <c r="M28" s="54">
        <f t="shared" si="2"/>
        <v>0</v>
      </c>
      <c r="N28" s="3">
        <f t="shared" si="22"/>
        <v>0</v>
      </c>
      <c r="O28" s="53"/>
      <c r="P28" s="53"/>
      <c r="Q28" s="53"/>
      <c r="R28" s="55"/>
      <c r="S28" s="3"/>
      <c r="T28" s="53"/>
      <c r="U28" s="53"/>
      <c r="V28" s="53"/>
      <c r="W28" s="53"/>
      <c r="X28" s="53"/>
      <c r="Y28" s="67"/>
      <c r="Z28" s="56"/>
      <c r="AA28" s="3"/>
      <c r="AB28" s="57"/>
      <c r="AC28" s="56"/>
      <c r="AD28" s="3"/>
      <c r="AE28" s="3"/>
      <c r="AF28" s="58"/>
      <c r="AG28" s="68"/>
      <c r="AI28" s="3"/>
      <c r="AJ28" s="3"/>
      <c r="AK28" s="179">
        <f t="shared" si="49"/>
        <v>0</v>
      </c>
      <c r="AM28" s="3"/>
      <c r="AN28" s="3"/>
    </row>
    <row r="29" spans="1:40">
      <c r="A29" s="580"/>
      <c r="B29" s="581"/>
      <c r="C29" s="51"/>
      <c r="D29" s="71"/>
      <c r="G29" s="52"/>
      <c r="I29" s="52"/>
      <c r="K29" s="2"/>
      <c r="L29" s="53"/>
      <c r="M29" s="54"/>
      <c r="O29" s="53"/>
      <c r="P29" s="53"/>
      <c r="Q29" s="53"/>
      <c r="R29" s="53"/>
      <c r="S29" s="3"/>
      <c r="T29" s="53"/>
      <c r="U29" s="53"/>
      <c r="V29" s="53"/>
      <c r="W29" s="53"/>
      <c r="X29" s="53"/>
      <c r="Y29" s="67"/>
      <c r="Z29" s="56"/>
      <c r="AA29" s="3"/>
      <c r="AB29" s="72"/>
      <c r="AC29" s="56"/>
      <c r="AD29" s="3"/>
      <c r="AE29" s="3"/>
      <c r="AF29" s="58"/>
      <c r="AG29" s="68"/>
      <c r="AI29" s="73"/>
      <c r="AJ29" s="73"/>
      <c r="AK29" s="179">
        <f t="shared" si="49"/>
        <v>0</v>
      </c>
      <c r="AL29" s="74"/>
      <c r="AM29" s="73"/>
      <c r="AN29" s="3"/>
    </row>
    <row r="30" spans="1:40" ht="12" thickBot="1">
      <c r="A30" s="580"/>
      <c r="B30" s="581"/>
      <c r="C30" s="75"/>
      <c r="D30" s="76" t="s">
        <v>69</v>
      </c>
      <c r="E30" s="77"/>
      <c r="F30" s="77"/>
      <c r="G30" s="78"/>
      <c r="H30" s="77"/>
      <c r="I30" s="78"/>
      <c r="J30" s="77"/>
      <c r="K30" s="79">
        <f>SUM(K14:K28)</f>
        <v>16884</v>
      </c>
      <c r="L30" s="80"/>
      <c r="M30" s="79">
        <f>SUM(M14:M29)</f>
        <v>1597981210.7399998</v>
      </c>
      <c r="N30" s="81">
        <f t="shared" ref="N30:Y30" si="50">SUM(N12:N29)</f>
        <v>0</v>
      </c>
      <c r="O30" s="81">
        <f t="shared" si="50"/>
        <v>0</v>
      </c>
      <c r="P30" s="81">
        <f t="shared" si="50"/>
        <v>0</v>
      </c>
      <c r="Q30" s="81">
        <f t="shared" si="50"/>
        <v>7190915.4483299991</v>
      </c>
      <c r="R30" s="79">
        <f t="shared" si="50"/>
        <v>7190915.4483299991</v>
      </c>
      <c r="S30" s="79">
        <f t="shared" si="50"/>
        <v>2251295000</v>
      </c>
      <c r="T30" s="79">
        <f t="shared" si="50"/>
        <v>232665534.86174905</v>
      </c>
      <c r="U30" s="79">
        <f t="shared" si="50"/>
        <v>11256475</v>
      </c>
      <c r="V30" s="79">
        <f t="shared" si="50"/>
        <v>27015540</v>
      </c>
      <c r="W30" s="79">
        <f t="shared" si="50"/>
        <v>83184947.268195003</v>
      </c>
      <c r="X30" s="79">
        <f t="shared" si="50"/>
        <v>0</v>
      </c>
      <c r="Y30" s="82">
        <f t="shared" si="50"/>
        <v>354122497.12994397</v>
      </c>
      <c r="Z30" s="83">
        <f>SUM(Z14:Z29)</f>
        <v>2475578346.5500002</v>
      </c>
      <c r="AA30" s="81">
        <f>SUM(AA12:AA29)</f>
        <v>516283724</v>
      </c>
      <c r="AB30" s="84">
        <f>+AA30/Z30</f>
        <v>0.20855075126969827</v>
      </c>
      <c r="AC30" s="79">
        <f>SUM(AC12:AC29)</f>
        <v>1597981210.7399998</v>
      </c>
      <c r="AD30" s="79">
        <f>SUM(AD12:AD29)</f>
        <v>7190915.4483299991</v>
      </c>
      <c r="AE30" s="79">
        <f>SUM(AE12:AE29)</f>
        <v>354122497.12994397</v>
      </c>
      <c r="AF30" s="85">
        <f>SUM(AF12:AF29)</f>
        <v>516283724</v>
      </c>
      <c r="AG30" s="68">
        <f t="shared" ref="AG30:AG42" si="51">+Z30-AC30-AD30-AE30-AF30</f>
        <v>-0.76827359199523926</v>
      </c>
      <c r="AI30" s="73">
        <f>SUM(AI14:AI28)</f>
        <v>2929405553.6719999</v>
      </c>
      <c r="AJ30" s="86"/>
      <c r="AK30" s="179">
        <f t="shared" si="49"/>
        <v>1</v>
      </c>
      <c r="AL30" s="86"/>
      <c r="AM30" s="86"/>
      <c r="AN30" s="3"/>
    </row>
    <row r="31" spans="1:40" ht="12" thickBot="1">
      <c r="A31" s="580"/>
      <c r="B31" s="581"/>
      <c r="C31" s="87"/>
      <c r="D31" s="88" t="s">
        <v>49</v>
      </c>
      <c r="E31" s="89"/>
      <c r="F31" s="90"/>
      <c r="G31" s="90"/>
      <c r="H31" s="90"/>
      <c r="I31" s="90"/>
      <c r="J31" s="90"/>
      <c r="K31" s="48"/>
      <c r="L31" s="48"/>
      <c r="M31" s="91"/>
      <c r="N31" s="92">
        <v>0</v>
      </c>
      <c r="O31" s="172">
        <v>0</v>
      </c>
      <c r="P31" s="93">
        <v>0</v>
      </c>
      <c r="Q31" s="94">
        <f>+Q11</f>
        <v>4.4999999999999997E-3</v>
      </c>
      <c r="R31" s="173"/>
      <c r="S31" s="42">
        <v>0.45450000000000002</v>
      </c>
      <c r="T31" s="95">
        <f>+T41/$Z$41</f>
        <v>9.4999566341397848E-2</v>
      </c>
      <c r="U31" s="95">
        <f>+U41/$Z$41</f>
        <v>4.5961265563814833E-3</v>
      </c>
      <c r="V31" s="95">
        <f>+V41/$Z$41</f>
        <v>1.1030703735315561E-2</v>
      </c>
      <c r="W31" s="95">
        <f>+W41/$Z$41</f>
        <v>3.3965210710328451E-2</v>
      </c>
      <c r="X31" s="95">
        <f>+X41/$Z$41</f>
        <v>0</v>
      </c>
      <c r="Y31" s="44">
        <f>SUM(T31:X31)</f>
        <v>0.14459160734342336</v>
      </c>
      <c r="Z31" s="96">
        <v>0.18400902999999999</v>
      </c>
      <c r="AA31" s="97"/>
      <c r="AB31" s="98"/>
      <c r="AC31" s="91"/>
      <c r="AD31" s="91"/>
      <c r="AE31" s="91"/>
      <c r="AF31" s="99"/>
      <c r="AG31" s="68">
        <f t="shared" si="51"/>
        <v>0.18400902999999999</v>
      </c>
      <c r="AJ31" s="3"/>
      <c r="AM31" s="3"/>
      <c r="AN31" s="3"/>
    </row>
    <row r="32" spans="1:40" ht="12" customHeight="1">
      <c r="A32" s="580"/>
      <c r="B32" s="581"/>
      <c r="C32" s="584">
        <v>2</v>
      </c>
      <c r="D32" s="582" t="s">
        <v>70</v>
      </c>
      <c r="E32" s="583"/>
      <c r="F32" s="583"/>
      <c r="G32" s="583"/>
      <c r="H32" s="583"/>
      <c r="I32" s="52"/>
      <c r="K32" s="2"/>
      <c r="L32" s="53"/>
      <c r="M32" s="54"/>
      <c r="O32" s="53"/>
      <c r="P32" s="53"/>
      <c r="Q32" s="53"/>
      <c r="R32" s="55"/>
      <c r="S32" s="3"/>
      <c r="T32" s="53"/>
      <c r="U32" s="53"/>
      <c r="V32" s="53"/>
      <c r="W32" s="53"/>
      <c r="X32" s="53"/>
      <c r="Y32" s="53"/>
      <c r="Z32" s="56"/>
      <c r="AA32" s="3"/>
      <c r="AB32" s="57"/>
      <c r="AC32" s="56"/>
      <c r="AD32" s="3"/>
      <c r="AE32" s="3"/>
      <c r="AF32" s="58"/>
      <c r="AG32" s="5">
        <f>+Z32-AC32-AD32-AE32-AF32</f>
        <v>0</v>
      </c>
      <c r="AH32" s="59" t="s">
        <v>52</v>
      </c>
      <c r="AK32" s="3"/>
    </row>
    <row r="33" spans="1:39">
      <c r="A33" s="580"/>
      <c r="B33" s="581"/>
      <c r="C33" s="584"/>
      <c r="D33" s="60" t="s">
        <v>53</v>
      </c>
      <c r="I33" s="52"/>
      <c r="K33" s="2"/>
      <c r="L33" s="53"/>
      <c r="M33" s="62"/>
      <c r="O33" s="53"/>
      <c r="P33" s="53"/>
      <c r="Q33" s="53"/>
      <c r="R33" s="4"/>
      <c r="S33" s="3"/>
      <c r="T33" s="53"/>
      <c r="U33" s="53"/>
      <c r="V33" s="53"/>
      <c r="W33" s="53"/>
      <c r="X33" s="53"/>
      <c r="Y33" s="53"/>
      <c r="Z33" s="56"/>
      <c r="AA33" s="3"/>
      <c r="AB33" s="57"/>
      <c r="AC33" s="63"/>
      <c r="AF33" s="64"/>
      <c r="AG33" s="5"/>
    </row>
    <row r="34" spans="1:39">
      <c r="A34" s="580"/>
      <c r="B34" s="581"/>
      <c r="C34" s="584"/>
      <c r="D34" s="8" t="s">
        <v>71</v>
      </c>
      <c r="E34" s="1">
        <v>1</v>
      </c>
      <c r="F34" s="1">
        <v>1</v>
      </c>
      <c r="G34" s="52">
        <f t="shared" ref="G34" si="52">+E34/F34</f>
        <v>1</v>
      </c>
      <c r="H34" s="100">
        <v>1</v>
      </c>
      <c r="I34" s="52">
        <f t="shared" ref="I34:I39" si="53">+G34*H34</f>
        <v>1</v>
      </c>
      <c r="J34" s="1">
        <v>11</v>
      </c>
      <c r="K34" s="52">
        <f t="shared" ref="K34:K39" si="54">+I34*J34</f>
        <v>11</v>
      </c>
      <c r="L34" s="53">
        <v>2000000</v>
      </c>
      <c r="M34" s="54">
        <f t="shared" ref="M34:M39" si="55">+K34*L34</f>
        <v>22000000</v>
      </c>
      <c r="N34" s="3">
        <f>30000000*L41</f>
        <v>0</v>
      </c>
      <c r="O34" s="53">
        <f>+M34*$O$11</f>
        <v>0</v>
      </c>
      <c r="P34" s="53">
        <f>+M34*$P$11</f>
        <v>0</v>
      </c>
      <c r="Q34" s="53">
        <f t="shared" ref="Q34:Q39" si="56">+M34*$Q$11</f>
        <v>98999.999999999985</v>
      </c>
      <c r="R34" s="55">
        <f t="shared" ref="R34:R39" si="57">SUM(N34:Q34)</f>
        <v>98999.999999999985</v>
      </c>
      <c r="S34" s="3">
        <f t="shared" ref="S34:S39" si="58">ROUND((+M34+R34)/(1-$S$11),-3)</f>
        <v>30994000</v>
      </c>
      <c r="T34" s="53">
        <f t="shared" ref="T34:T39" si="59">+S34*$T$10</f>
        <v>3203150.0036668</v>
      </c>
      <c r="U34" s="53">
        <f t="shared" ref="U34:U39" si="60">+S34*$U$10</f>
        <v>154970</v>
      </c>
      <c r="V34" s="53">
        <f t="shared" ref="V34:V39" si="61">+S34*$V$10</f>
        <v>371928</v>
      </c>
      <c r="W34" s="53">
        <f t="shared" ref="W34:W39" si="62">+S34*$W$10</f>
        <v>1145222.752074</v>
      </c>
      <c r="X34" s="53">
        <f t="shared" ref="X34:X39" si="63">+S34*$X$10</f>
        <v>0</v>
      </c>
      <c r="Y34" s="67">
        <f t="shared" ref="Y34:Y39" si="64">SUM(T34:X34)</f>
        <v>4875270.7557407999</v>
      </c>
      <c r="Z34" s="56">
        <f t="shared" ref="Z34:Z39" si="65">ROUND((+Y34+R34+M34)/(1-$Z$10),0)</f>
        <v>33717838</v>
      </c>
      <c r="AA34" s="3">
        <f t="shared" ref="AA34:AA39" si="66">ROUND((+Z34-Y34-R34-M34),0)</f>
        <v>6743567</v>
      </c>
      <c r="AB34" s="57">
        <f t="shared" ref="AB34:AB39" si="67">+AA34/Z34</f>
        <v>0.19999998220526477</v>
      </c>
      <c r="AC34" s="56">
        <f t="shared" ref="AC34:AC39" si="68">+M34</f>
        <v>22000000</v>
      </c>
      <c r="AD34" s="3">
        <f t="shared" ref="AD34:AD39" si="69">+R34</f>
        <v>98999.999999999985</v>
      </c>
      <c r="AE34" s="3">
        <f t="shared" ref="AE34:AE39" si="70">+Y34</f>
        <v>4875270.7557407999</v>
      </c>
      <c r="AF34" s="58">
        <f t="shared" ref="AF34:AF39" si="71">+AA34</f>
        <v>6743567</v>
      </c>
      <c r="AG34" s="68">
        <f t="shared" ref="AG34:AG39" si="72">+Z34-AC34-AD34-AE34-AF34</f>
        <v>0.24425920005887747</v>
      </c>
      <c r="AI34" s="3"/>
      <c r="AJ34" s="3"/>
    </row>
    <row r="35" spans="1:39">
      <c r="A35" s="580"/>
      <c r="B35" s="581"/>
      <c r="C35" s="584"/>
      <c r="D35" s="8" t="s">
        <v>72</v>
      </c>
      <c r="E35" s="1">
        <v>4</v>
      </c>
      <c r="F35" s="1">
        <v>1</v>
      </c>
      <c r="G35" s="52">
        <f>+E35/F35</f>
        <v>4</v>
      </c>
      <c r="H35" s="100">
        <v>1</v>
      </c>
      <c r="I35" s="52">
        <f t="shared" si="53"/>
        <v>4</v>
      </c>
      <c r="J35" s="1">
        <v>11</v>
      </c>
      <c r="K35" s="52">
        <f t="shared" si="54"/>
        <v>44</v>
      </c>
      <c r="L35" s="53">
        <f>3400000*1.52</f>
        <v>5168000</v>
      </c>
      <c r="M35" s="54">
        <f t="shared" si="55"/>
        <v>227392000</v>
      </c>
      <c r="N35" s="3">
        <f>+K35*$N$11</f>
        <v>0</v>
      </c>
      <c r="O35" s="53">
        <f>+M35*$O$11</f>
        <v>0</v>
      </c>
      <c r="P35" s="53">
        <f>+M35*$P$11</f>
        <v>0</v>
      </c>
      <c r="Q35" s="53">
        <f t="shared" si="56"/>
        <v>1023263.9999999999</v>
      </c>
      <c r="R35" s="55">
        <f t="shared" si="57"/>
        <v>1023263.9999999999</v>
      </c>
      <c r="S35" s="3">
        <f t="shared" si="58"/>
        <v>320358000</v>
      </c>
      <c r="T35" s="53">
        <f t="shared" si="59"/>
        <v>33108173.481147598</v>
      </c>
      <c r="U35" s="53">
        <f t="shared" si="60"/>
        <v>1601790</v>
      </c>
      <c r="V35" s="53">
        <f t="shared" si="61"/>
        <v>3844296</v>
      </c>
      <c r="W35" s="53">
        <f t="shared" si="62"/>
        <v>11837170.755918</v>
      </c>
      <c r="X35" s="53">
        <f t="shared" si="63"/>
        <v>0</v>
      </c>
      <c r="Y35" s="67">
        <f t="shared" si="64"/>
        <v>50391430.237065598</v>
      </c>
      <c r="Z35" s="56">
        <f t="shared" si="65"/>
        <v>348508368</v>
      </c>
      <c r="AA35" s="3">
        <f t="shared" si="66"/>
        <v>69701674</v>
      </c>
      <c r="AB35" s="57">
        <f t="shared" si="67"/>
        <v>0.20000000114774863</v>
      </c>
      <c r="AC35" s="56">
        <f t="shared" si="68"/>
        <v>227392000</v>
      </c>
      <c r="AD35" s="3">
        <f t="shared" si="69"/>
        <v>1023263.9999999999</v>
      </c>
      <c r="AE35" s="3">
        <f t="shared" si="70"/>
        <v>50391430.237065598</v>
      </c>
      <c r="AF35" s="58">
        <f t="shared" si="71"/>
        <v>69701674</v>
      </c>
      <c r="AG35" s="68">
        <f t="shared" si="72"/>
        <v>-0.23706559836864471</v>
      </c>
      <c r="AI35" s="3"/>
      <c r="AJ35" s="3"/>
    </row>
    <row r="36" spans="1:39">
      <c r="A36" s="580"/>
      <c r="B36" s="581"/>
      <c r="C36" s="584"/>
      <c r="D36" s="8" t="s">
        <v>73</v>
      </c>
      <c r="E36" s="1">
        <v>6</v>
      </c>
      <c r="F36" s="1">
        <v>1</v>
      </c>
      <c r="G36" s="52">
        <f>+E36/F36</f>
        <v>6</v>
      </c>
      <c r="H36" s="100">
        <v>1</v>
      </c>
      <c r="I36" s="52">
        <f t="shared" si="53"/>
        <v>6</v>
      </c>
      <c r="J36" s="1">
        <v>10</v>
      </c>
      <c r="K36" s="52">
        <f t="shared" si="54"/>
        <v>60</v>
      </c>
      <c r="L36" s="53">
        <f>1690000*1.52+162000</f>
        <v>2730800</v>
      </c>
      <c r="M36" s="54">
        <f t="shared" si="55"/>
        <v>163848000</v>
      </c>
      <c r="N36" s="3">
        <f>+K36*$N$11</f>
        <v>0</v>
      </c>
      <c r="O36" s="53">
        <f>+M36*$O$11</f>
        <v>0</v>
      </c>
      <c r="P36" s="53">
        <f>+M36*$P$11</f>
        <v>0</v>
      </c>
      <c r="Q36" s="53">
        <f t="shared" si="56"/>
        <v>737316</v>
      </c>
      <c r="R36" s="55">
        <f t="shared" si="57"/>
        <v>737316</v>
      </c>
      <c r="S36" s="3">
        <f t="shared" si="58"/>
        <v>230835000</v>
      </c>
      <c r="T36" s="53">
        <f t="shared" si="59"/>
        <v>23856202.203536998</v>
      </c>
      <c r="U36" s="53">
        <f t="shared" si="60"/>
        <v>1154175</v>
      </c>
      <c r="V36" s="53">
        <f t="shared" si="61"/>
        <v>2770020</v>
      </c>
      <c r="W36" s="53">
        <f t="shared" si="62"/>
        <v>8529311.9305349998</v>
      </c>
      <c r="X36" s="53">
        <f t="shared" si="63"/>
        <v>0</v>
      </c>
      <c r="Y36" s="67">
        <f t="shared" si="64"/>
        <v>36309709.134071998</v>
      </c>
      <c r="Z36" s="56">
        <f t="shared" si="65"/>
        <v>251118781</v>
      </c>
      <c r="AA36" s="3">
        <f t="shared" si="66"/>
        <v>50223756</v>
      </c>
      <c r="AB36" s="57">
        <f t="shared" si="67"/>
        <v>0.19999999920356415</v>
      </c>
      <c r="AC36" s="56">
        <f t="shared" si="68"/>
        <v>163848000</v>
      </c>
      <c r="AD36" s="3">
        <f t="shared" si="69"/>
        <v>737316</v>
      </c>
      <c r="AE36" s="3">
        <f t="shared" si="70"/>
        <v>36309709.134071998</v>
      </c>
      <c r="AF36" s="58">
        <f t="shared" si="71"/>
        <v>50223756</v>
      </c>
      <c r="AG36" s="68">
        <f t="shared" si="72"/>
        <v>-0.13407199829816818</v>
      </c>
      <c r="AI36" s="3"/>
      <c r="AJ36" s="3"/>
    </row>
    <row r="37" spans="1:39">
      <c r="A37" s="580"/>
      <c r="B37" s="581"/>
      <c r="C37" s="584"/>
      <c r="D37" s="8" t="s">
        <v>74</v>
      </c>
      <c r="E37" s="1">
        <v>1</v>
      </c>
      <c r="F37" s="1">
        <v>1</v>
      </c>
      <c r="G37" s="52">
        <f t="shared" ref="G37:G39" si="73">+E37/F37</f>
        <v>1</v>
      </c>
      <c r="H37" s="100">
        <v>1</v>
      </c>
      <c r="I37" s="52">
        <f t="shared" si="53"/>
        <v>1</v>
      </c>
      <c r="J37" s="1">
        <v>11</v>
      </c>
      <c r="K37" s="52">
        <f t="shared" si="54"/>
        <v>11</v>
      </c>
      <c r="L37" s="53">
        <v>2500000</v>
      </c>
      <c r="M37" s="54">
        <f t="shared" si="55"/>
        <v>27500000</v>
      </c>
      <c r="N37" s="3">
        <f>+K37*$N$11</f>
        <v>0</v>
      </c>
      <c r="O37" s="53">
        <f>+M37*$O$11</f>
        <v>0</v>
      </c>
      <c r="P37" s="53">
        <f>+M37*$P$11</f>
        <v>0</v>
      </c>
      <c r="Q37" s="53">
        <f t="shared" si="56"/>
        <v>123749.99999999999</v>
      </c>
      <c r="R37" s="55">
        <f t="shared" si="57"/>
        <v>123749.99999999999</v>
      </c>
      <c r="S37" s="3">
        <f t="shared" si="58"/>
        <v>38743000</v>
      </c>
      <c r="T37" s="53">
        <f t="shared" si="59"/>
        <v>4003989.1782946</v>
      </c>
      <c r="U37" s="53">
        <f t="shared" si="60"/>
        <v>193715</v>
      </c>
      <c r="V37" s="53">
        <f t="shared" si="61"/>
        <v>464916</v>
      </c>
      <c r="W37" s="53">
        <f t="shared" si="62"/>
        <v>1431546.9150030001</v>
      </c>
      <c r="X37" s="53">
        <f t="shared" si="63"/>
        <v>0</v>
      </c>
      <c r="Y37" s="67">
        <f t="shared" si="64"/>
        <v>6094167.0932975998</v>
      </c>
      <c r="Z37" s="56">
        <f t="shared" si="65"/>
        <v>42147396</v>
      </c>
      <c r="AA37" s="3">
        <f t="shared" si="66"/>
        <v>8429479</v>
      </c>
      <c r="AB37" s="57">
        <f t="shared" si="67"/>
        <v>0.19999999525474835</v>
      </c>
      <c r="AC37" s="56">
        <f t="shared" si="68"/>
        <v>27500000</v>
      </c>
      <c r="AD37" s="3">
        <f t="shared" si="69"/>
        <v>123749.99999999999</v>
      </c>
      <c r="AE37" s="3">
        <f t="shared" si="70"/>
        <v>6094167.0932975998</v>
      </c>
      <c r="AF37" s="58">
        <f t="shared" si="71"/>
        <v>8429479</v>
      </c>
      <c r="AG37" s="68">
        <f t="shared" si="72"/>
        <v>-9.3297600746154785E-2</v>
      </c>
      <c r="AI37" s="3"/>
      <c r="AJ37" s="3"/>
    </row>
    <row r="38" spans="1:39">
      <c r="A38" s="580"/>
      <c r="B38" s="581"/>
      <c r="C38" s="584"/>
      <c r="D38" s="8" t="s">
        <v>75</v>
      </c>
      <c r="E38" s="1">
        <v>8</v>
      </c>
      <c r="F38" s="1">
        <v>1</v>
      </c>
      <c r="G38" s="52">
        <f t="shared" si="73"/>
        <v>8</v>
      </c>
      <c r="H38" s="100">
        <v>1</v>
      </c>
      <c r="I38" s="52">
        <f t="shared" si="53"/>
        <v>8</v>
      </c>
      <c r="J38" s="1">
        <v>11</v>
      </c>
      <c r="K38" s="52">
        <f t="shared" si="54"/>
        <v>88</v>
      </c>
      <c r="L38" s="53">
        <v>160000</v>
      </c>
      <c r="M38" s="54">
        <f t="shared" si="55"/>
        <v>14080000</v>
      </c>
      <c r="N38" s="3">
        <f>+K38*$N$11</f>
        <v>0</v>
      </c>
      <c r="O38" s="53">
        <f>+M38*$O$11</f>
        <v>0</v>
      </c>
      <c r="P38" s="53">
        <f>+M38*$P$11</f>
        <v>0</v>
      </c>
      <c r="Q38" s="53">
        <f t="shared" si="56"/>
        <v>63359.999999999993</v>
      </c>
      <c r="R38" s="55">
        <f t="shared" si="57"/>
        <v>63359.999999999993</v>
      </c>
      <c r="S38" s="3">
        <f t="shared" si="58"/>
        <v>19836000</v>
      </c>
      <c r="T38" s="53">
        <f t="shared" si="59"/>
        <v>2049999.4667592</v>
      </c>
      <c r="U38" s="53">
        <f t="shared" si="60"/>
        <v>99180</v>
      </c>
      <c r="V38" s="53">
        <f t="shared" si="61"/>
        <v>238032</v>
      </c>
      <c r="W38" s="53">
        <f t="shared" si="62"/>
        <v>732936.64935600001</v>
      </c>
      <c r="X38" s="53">
        <f t="shared" si="63"/>
        <v>0</v>
      </c>
      <c r="Y38" s="67">
        <f t="shared" si="64"/>
        <v>3120148.1161152003</v>
      </c>
      <c r="Z38" s="56">
        <f t="shared" si="65"/>
        <v>21579385</v>
      </c>
      <c r="AA38" s="3">
        <f t="shared" si="66"/>
        <v>4315877</v>
      </c>
      <c r="AB38" s="57">
        <f t="shared" si="67"/>
        <v>0.2</v>
      </c>
      <c r="AC38" s="56">
        <f t="shared" si="68"/>
        <v>14080000</v>
      </c>
      <c r="AD38" s="3">
        <f t="shared" si="69"/>
        <v>63359.999999999993</v>
      </c>
      <c r="AE38" s="3">
        <f t="shared" si="70"/>
        <v>3120148.1161152003</v>
      </c>
      <c r="AF38" s="58">
        <f t="shared" si="71"/>
        <v>4315877</v>
      </c>
      <c r="AG38" s="68">
        <f t="shared" si="72"/>
        <v>-0.11611520033329725</v>
      </c>
      <c r="AI38" s="3"/>
      <c r="AJ38" s="3"/>
    </row>
    <row r="39" spans="1:39">
      <c r="A39" s="580"/>
      <c r="B39" s="581"/>
      <c r="C39" s="584"/>
      <c r="D39" s="8" t="s">
        <v>76</v>
      </c>
      <c r="E39" s="1">
        <v>1</v>
      </c>
      <c r="F39" s="1">
        <v>1</v>
      </c>
      <c r="G39" s="52">
        <f t="shared" si="73"/>
        <v>1</v>
      </c>
      <c r="H39" s="100">
        <v>1</v>
      </c>
      <c r="I39" s="52">
        <f t="shared" si="53"/>
        <v>1</v>
      </c>
      <c r="J39" s="1">
        <v>11</v>
      </c>
      <c r="K39" s="52">
        <f t="shared" si="54"/>
        <v>11</v>
      </c>
      <c r="L39" s="53">
        <v>360000</v>
      </c>
      <c r="M39" s="54">
        <f t="shared" si="55"/>
        <v>3960000</v>
      </c>
      <c r="N39" s="3">
        <f>+M39*$N$11*0</f>
        <v>0</v>
      </c>
      <c r="O39" s="53">
        <f>+M39*$O$11*0</f>
        <v>0</v>
      </c>
      <c r="P39" s="53">
        <f>+M39*$P$11*0</f>
        <v>0</v>
      </c>
      <c r="Q39" s="53">
        <f t="shared" si="56"/>
        <v>17820</v>
      </c>
      <c r="R39" s="175">
        <f t="shared" si="57"/>
        <v>17820</v>
      </c>
      <c r="S39" s="3">
        <f t="shared" si="58"/>
        <v>5579000</v>
      </c>
      <c r="T39" s="53">
        <f t="shared" si="59"/>
        <v>576575.2684538</v>
      </c>
      <c r="U39" s="53">
        <f t="shared" si="60"/>
        <v>27895</v>
      </c>
      <c r="V39" s="53">
        <f t="shared" si="61"/>
        <v>66948</v>
      </c>
      <c r="W39" s="53">
        <f t="shared" si="62"/>
        <v>206143.051359</v>
      </c>
      <c r="X39" s="53">
        <f t="shared" si="63"/>
        <v>0</v>
      </c>
      <c r="Y39" s="67">
        <f t="shared" si="64"/>
        <v>877561.31981280004</v>
      </c>
      <c r="Z39" s="56">
        <f t="shared" si="65"/>
        <v>6069227</v>
      </c>
      <c r="AA39" s="3">
        <f t="shared" si="66"/>
        <v>1213846</v>
      </c>
      <c r="AB39" s="57">
        <f t="shared" si="67"/>
        <v>0.20000009885937697</v>
      </c>
      <c r="AC39" s="56">
        <f t="shared" si="68"/>
        <v>3960000</v>
      </c>
      <c r="AD39" s="3">
        <f t="shared" si="69"/>
        <v>17820</v>
      </c>
      <c r="AE39" s="3">
        <f t="shared" si="70"/>
        <v>877561.31981280004</v>
      </c>
      <c r="AF39" s="58">
        <f t="shared" si="71"/>
        <v>1213846</v>
      </c>
      <c r="AG39" s="68">
        <f t="shared" si="72"/>
        <v>-0.31981280003674328</v>
      </c>
      <c r="AI39" s="3"/>
      <c r="AJ39" s="3"/>
    </row>
    <row r="40" spans="1:39">
      <c r="A40" s="580"/>
      <c r="B40" s="581"/>
      <c r="C40" s="584"/>
      <c r="D40" s="71"/>
      <c r="G40" s="52"/>
      <c r="I40" s="52"/>
      <c r="K40" s="2"/>
      <c r="L40" s="53"/>
      <c r="M40" s="54"/>
      <c r="O40" s="53"/>
      <c r="P40" s="53"/>
      <c r="Q40" s="53"/>
      <c r="R40" s="175"/>
      <c r="S40" s="3"/>
      <c r="T40" s="53"/>
      <c r="U40" s="53"/>
      <c r="V40" s="53"/>
      <c r="W40" s="53"/>
      <c r="X40" s="53"/>
      <c r="Y40" s="67"/>
      <c r="Z40" s="56"/>
      <c r="AA40" s="3"/>
      <c r="AB40" s="57"/>
      <c r="AC40" s="56"/>
      <c r="AD40" s="3"/>
      <c r="AE40" s="3"/>
      <c r="AF40" s="58"/>
      <c r="AG40" s="68"/>
      <c r="AI40" s="73">
        <v>25</v>
      </c>
      <c r="AJ40" s="73"/>
    </row>
    <row r="41" spans="1:39" ht="12" thickBot="1">
      <c r="A41" s="580"/>
      <c r="B41" s="581"/>
      <c r="C41" s="585"/>
      <c r="D41" s="76" t="s">
        <v>69</v>
      </c>
      <c r="E41" s="77"/>
      <c r="F41" s="77"/>
      <c r="G41" s="78"/>
      <c r="H41" s="77"/>
      <c r="I41" s="78"/>
      <c r="J41" s="77"/>
      <c r="K41" s="101"/>
      <c r="L41" s="80"/>
      <c r="M41" s="102">
        <f>SUM(M32:M40)</f>
        <v>458780000</v>
      </c>
      <c r="N41" s="103">
        <f t="shared" ref="N41:AA41" si="74">SUM(N32:N40)</f>
        <v>0</v>
      </c>
      <c r="O41" s="103">
        <f t="shared" si="74"/>
        <v>0</v>
      </c>
      <c r="P41" s="103">
        <f t="shared" si="74"/>
        <v>0</v>
      </c>
      <c r="Q41" s="103">
        <f>SUM(Q32:Q40)</f>
        <v>2064509.9999999998</v>
      </c>
      <c r="R41" s="102">
        <f t="shared" si="74"/>
        <v>2064509.9999999998</v>
      </c>
      <c r="S41" s="102">
        <f t="shared" si="74"/>
        <v>646345000</v>
      </c>
      <c r="T41" s="102">
        <f t="shared" si="74"/>
        <v>66798089.601858988</v>
      </c>
      <c r="U41" s="102">
        <f t="shared" si="74"/>
        <v>3231725</v>
      </c>
      <c r="V41" s="102">
        <f t="shared" si="74"/>
        <v>7756140</v>
      </c>
      <c r="W41" s="102">
        <f t="shared" si="74"/>
        <v>23882332.054245003</v>
      </c>
      <c r="X41" s="102">
        <f t="shared" si="74"/>
        <v>0</v>
      </c>
      <c r="Y41" s="104">
        <f t="shared" si="74"/>
        <v>101668286.656104</v>
      </c>
      <c r="Z41" s="105">
        <f t="shared" si="74"/>
        <v>703140995</v>
      </c>
      <c r="AA41" s="103">
        <f t="shared" si="74"/>
        <v>140628199</v>
      </c>
      <c r="AB41" s="106">
        <f>+AA41/Z41</f>
        <v>0.2</v>
      </c>
      <c r="AC41" s="102">
        <f>SUM(AC32:AC40)</f>
        <v>458780000</v>
      </c>
      <c r="AD41" s="102">
        <f>SUM(AD32:AD40)</f>
        <v>2064509.9999999998</v>
      </c>
      <c r="AE41" s="102">
        <f>SUM(AE32:AE40)</f>
        <v>101668286.656104</v>
      </c>
      <c r="AF41" s="107">
        <f>SUM(AF32:AF40)</f>
        <v>140628199</v>
      </c>
      <c r="AG41" s="68">
        <f t="shared" si="51"/>
        <v>-0.65610399842262268</v>
      </c>
      <c r="AI41" s="73" t="e">
        <f>+Z41/#REF!</f>
        <v>#REF!</v>
      </c>
      <c r="AJ41" s="86"/>
      <c r="AK41" s="86"/>
      <c r="AL41" s="86"/>
      <c r="AM41" s="86"/>
    </row>
    <row r="42" spans="1:39">
      <c r="A42" s="580"/>
      <c r="B42" s="581"/>
      <c r="C42" s="108"/>
      <c r="D42" s="109" t="s">
        <v>49</v>
      </c>
      <c r="E42" s="37"/>
      <c r="F42" s="38"/>
      <c r="G42" s="38"/>
      <c r="H42" s="38"/>
      <c r="I42" s="38"/>
      <c r="J42" s="38"/>
      <c r="K42" s="39"/>
      <c r="L42" s="39"/>
      <c r="M42" s="48"/>
      <c r="N42" s="110"/>
      <c r="O42" s="111">
        <v>5.0000000000000001E-3</v>
      </c>
      <c r="P42" s="111">
        <v>5.0000000000000001E-3</v>
      </c>
      <c r="Q42" s="112">
        <f>+Q31</f>
        <v>4.4999999999999997E-3</v>
      </c>
      <c r="R42" s="174"/>
      <c r="S42" s="113">
        <v>0.45450000000000002</v>
      </c>
      <c r="T42" s="43">
        <f>+T51/$Z$41</f>
        <v>4.9604164408417117E-3</v>
      </c>
      <c r="U42" s="43">
        <f>+U51/$Z$41</f>
        <v>2.3998742954818044E-4</v>
      </c>
      <c r="V42" s="43">
        <f>+V51/$Z$41</f>
        <v>5.7596983091563303E-4</v>
      </c>
      <c r="W42" s="43">
        <f>+W51/$Z$41</f>
        <v>1.7734985128110756E-3</v>
      </c>
      <c r="X42" s="43">
        <f>+X51/$Z$41</f>
        <v>0</v>
      </c>
      <c r="Y42" s="114">
        <f>SUM(T42:X42)</f>
        <v>7.5498722141166012E-3</v>
      </c>
      <c r="Z42" s="115"/>
      <c r="AA42" s="47"/>
      <c r="AB42" s="116"/>
      <c r="AC42" s="48"/>
      <c r="AD42" s="48"/>
      <c r="AE42" s="48"/>
      <c r="AF42" s="49"/>
      <c r="AG42" s="68">
        <f t="shared" si="51"/>
        <v>0</v>
      </c>
      <c r="AI42" s="73"/>
      <c r="AJ42" s="86"/>
      <c r="AK42" s="86"/>
      <c r="AL42" s="86"/>
      <c r="AM42" s="86"/>
    </row>
    <row r="43" spans="1:39">
      <c r="A43" s="580"/>
      <c r="B43" s="581"/>
      <c r="C43" s="584">
        <v>3</v>
      </c>
      <c r="D43" s="582" t="s">
        <v>77</v>
      </c>
      <c r="E43" s="583"/>
      <c r="F43" s="583"/>
      <c r="G43" s="583"/>
      <c r="K43" s="2"/>
      <c r="L43" s="53"/>
      <c r="M43" s="54"/>
      <c r="O43" s="53"/>
      <c r="P43" s="53"/>
      <c r="Q43" s="53"/>
      <c r="R43" s="55"/>
      <c r="S43" s="3"/>
      <c r="T43" s="53"/>
      <c r="U43" s="53"/>
      <c r="V43" s="53"/>
      <c r="W43" s="53"/>
      <c r="X43" s="53"/>
      <c r="Y43" s="53"/>
      <c r="Z43" s="56"/>
      <c r="AA43" s="3"/>
      <c r="AB43" s="57"/>
      <c r="AC43" s="56"/>
      <c r="AD43" s="3"/>
      <c r="AE43" s="3"/>
      <c r="AF43" s="58"/>
      <c r="AG43" s="5"/>
      <c r="AI43" s="73"/>
      <c r="AJ43" s="86"/>
      <c r="AK43" s="86"/>
      <c r="AL43" s="86"/>
      <c r="AM43" s="86"/>
    </row>
    <row r="44" spans="1:39">
      <c r="A44" s="580"/>
      <c r="B44" s="581"/>
      <c r="C44" s="584"/>
      <c r="D44" s="60" t="s">
        <v>53</v>
      </c>
      <c r="K44" s="2"/>
      <c r="L44" s="53"/>
      <c r="M44" s="62"/>
      <c r="R44" s="4"/>
      <c r="S44" s="3"/>
      <c r="T44" s="53"/>
      <c r="U44" s="53"/>
      <c r="V44" s="53"/>
      <c r="W44" s="53"/>
      <c r="X44" s="53"/>
      <c r="Y44" s="53"/>
      <c r="Z44" s="56"/>
      <c r="AA44" s="3"/>
      <c r="AB44" s="57"/>
      <c r="AC44" s="63"/>
      <c r="AF44" s="64"/>
      <c r="AG44" s="5"/>
      <c r="AI44" s="73"/>
      <c r="AJ44" s="86"/>
      <c r="AK44" s="86"/>
      <c r="AL44" s="86"/>
      <c r="AM44" s="86"/>
    </row>
    <row r="45" spans="1:39">
      <c r="A45" s="580"/>
      <c r="B45" s="581"/>
      <c r="C45" s="584"/>
      <c r="D45" s="8" t="s">
        <v>78</v>
      </c>
      <c r="E45" s="1">
        <v>2</v>
      </c>
      <c r="F45" s="1">
        <v>1</v>
      </c>
      <c r="G45" s="52">
        <f t="shared" ref="G45" si="75">+E45/F45</f>
        <v>2</v>
      </c>
      <c r="H45" s="100">
        <v>2</v>
      </c>
      <c r="I45" s="52">
        <f t="shared" ref="I45:I49" si="76">+G45*H45</f>
        <v>4</v>
      </c>
      <c r="J45" s="1">
        <v>1</v>
      </c>
      <c r="K45" s="52">
        <f>+I45*J45</f>
        <v>4</v>
      </c>
      <c r="L45" s="53">
        <v>4500000</v>
      </c>
      <c r="M45" s="54">
        <f t="shared" ref="M45:M49" si="77">+K45*L45</f>
        <v>18000000</v>
      </c>
      <c r="N45" s="3">
        <f>30000000*L50</f>
        <v>0</v>
      </c>
      <c r="O45" s="53">
        <f>+M45*$O$11</f>
        <v>0</v>
      </c>
      <c r="P45" s="53">
        <f>+M45*$P$11</f>
        <v>0</v>
      </c>
      <c r="Q45" s="53">
        <f t="shared" ref="Q45:Q49" si="78">+M45*$Q$11</f>
        <v>81000</v>
      </c>
      <c r="R45" s="55">
        <f t="shared" ref="R45:R49" si="79">SUM(N45:Q45)</f>
        <v>81000</v>
      </c>
      <c r="S45" s="3">
        <f t="shared" ref="S45:S49" si="80">ROUND((+M45+R45)/(1-$S$11),-3)</f>
        <v>25359000</v>
      </c>
      <c r="T45" s="53">
        <f t="shared" ref="T45:T49" si="81">+S45*$T$10</f>
        <v>2620787.2795698</v>
      </c>
      <c r="U45" s="53">
        <f t="shared" ref="U45:U49" si="82">+S45*$U$10</f>
        <v>126795</v>
      </c>
      <c r="V45" s="53">
        <f t="shared" ref="V45:V49" si="83">+S45*$V$10</f>
        <v>304308</v>
      </c>
      <c r="W45" s="53">
        <f t="shared" ref="W45:W49" si="84">+S45*$W$10</f>
        <v>937010.51073900005</v>
      </c>
      <c r="X45" s="53">
        <f t="shared" ref="X45:X49" si="85">+S45*$X$10</f>
        <v>0</v>
      </c>
      <c r="Y45" s="67">
        <f t="shared" ref="Y45:Y49" si="86">SUM(T45:X45)</f>
        <v>3988900.7903088001</v>
      </c>
      <c r="Z45" s="56">
        <f t="shared" ref="Z45:Z49" si="87">ROUND((+Y45+R45+M45)/(1-$Z$10),0)</f>
        <v>27587376</v>
      </c>
      <c r="AA45" s="3">
        <f t="shared" ref="AA45:AA49" si="88">ROUND((+Z45-Y45-R45-M45),0)</f>
        <v>5517475</v>
      </c>
      <c r="AB45" s="57">
        <f t="shared" ref="AB45:AB49" si="89">+AA45/Z45</f>
        <v>0.19999999275030725</v>
      </c>
      <c r="AC45" s="56">
        <f t="shared" ref="AC45:AC49" si="90">+M45</f>
        <v>18000000</v>
      </c>
      <c r="AD45" s="3">
        <f t="shared" ref="AD45:AD49" si="91">+R45</f>
        <v>81000</v>
      </c>
      <c r="AE45" s="3">
        <f t="shared" ref="AE45:AE49" si="92">+Y45</f>
        <v>3988900.7903088001</v>
      </c>
      <c r="AF45" s="58">
        <f t="shared" ref="AF45:AF49" si="93">+AA45</f>
        <v>5517475</v>
      </c>
      <c r="AG45" s="68">
        <f t="shared" ref="AG45:AG49" si="94">+Z45-AC45-AD45-AE45-AF45</f>
        <v>0.20969120040535927</v>
      </c>
      <c r="AI45" s="73"/>
      <c r="AJ45" s="86"/>
      <c r="AK45" s="86"/>
      <c r="AL45" s="86"/>
      <c r="AM45" s="86"/>
    </row>
    <row r="46" spans="1:39">
      <c r="A46" s="580"/>
      <c r="B46" s="581"/>
      <c r="C46" s="584"/>
      <c r="D46" s="8" t="s">
        <v>79</v>
      </c>
      <c r="E46" s="1">
        <v>15</v>
      </c>
      <c r="F46" s="1">
        <v>1</v>
      </c>
      <c r="G46" s="52">
        <f>+E46/F46</f>
        <v>15</v>
      </c>
      <c r="H46" s="100">
        <v>1</v>
      </c>
      <c r="I46" s="52">
        <f t="shared" si="76"/>
        <v>15</v>
      </c>
      <c r="J46" s="1">
        <v>2</v>
      </c>
      <c r="K46" s="52">
        <f>+I46*J46</f>
        <v>30</v>
      </c>
      <c r="L46" s="53">
        <v>8500</v>
      </c>
      <c r="M46" s="54">
        <f t="shared" si="77"/>
        <v>255000</v>
      </c>
      <c r="N46" s="3">
        <f>+K46*$N$11</f>
        <v>0</v>
      </c>
      <c r="O46" s="53">
        <f>+M46*$O$11</f>
        <v>0</v>
      </c>
      <c r="P46" s="53">
        <f>+M46*$P$11</f>
        <v>0</v>
      </c>
      <c r="Q46" s="53">
        <f t="shared" si="78"/>
        <v>1147.5</v>
      </c>
      <c r="R46" s="55">
        <f t="shared" si="79"/>
        <v>1147.5</v>
      </c>
      <c r="S46" s="3">
        <f t="shared" si="80"/>
        <v>359000</v>
      </c>
      <c r="T46" s="53">
        <f t="shared" si="81"/>
        <v>37101.724569799997</v>
      </c>
      <c r="U46" s="53">
        <f t="shared" si="82"/>
        <v>1795</v>
      </c>
      <c r="V46" s="53">
        <f t="shared" si="83"/>
        <v>4308</v>
      </c>
      <c r="W46" s="53">
        <f t="shared" si="84"/>
        <v>13264.985739</v>
      </c>
      <c r="X46" s="53">
        <f t="shared" si="85"/>
        <v>0</v>
      </c>
      <c r="Y46" s="67">
        <f t="shared" si="86"/>
        <v>56469.7103088</v>
      </c>
      <c r="Z46" s="56">
        <f t="shared" si="87"/>
        <v>390772</v>
      </c>
      <c r="AA46" s="3">
        <f t="shared" si="88"/>
        <v>78155</v>
      </c>
      <c r="AB46" s="57">
        <f t="shared" si="89"/>
        <v>0.20000153542218993</v>
      </c>
      <c r="AC46" s="56">
        <f t="shared" si="90"/>
        <v>255000</v>
      </c>
      <c r="AD46" s="3">
        <f t="shared" si="91"/>
        <v>1147.5</v>
      </c>
      <c r="AE46" s="3">
        <f t="shared" si="92"/>
        <v>56469.7103088</v>
      </c>
      <c r="AF46" s="58">
        <f t="shared" si="93"/>
        <v>78155</v>
      </c>
      <c r="AG46" s="68">
        <f t="shared" si="94"/>
        <v>-0.21030880000034813</v>
      </c>
      <c r="AI46" s="73"/>
      <c r="AJ46" s="86"/>
      <c r="AK46" s="86"/>
      <c r="AL46" s="86"/>
      <c r="AM46" s="86"/>
    </row>
    <row r="47" spans="1:39">
      <c r="A47" s="580"/>
      <c r="B47" s="581"/>
      <c r="C47" s="584"/>
      <c r="D47" s="8" t="s">
        <v>80</v>
      </c>
      <c r="E47" s="1">
        <v>1</v>
      </c>
      <c r="F47" s="1">
        <v>1</v>
      </c>
      <c r="G47" s="52">
        <f t="shared" ref="G47:G49" si="95">+E47/F47</f>
        <v>1</v>
      </c>
      <c r="H47" s="100">
        <v>1</v>
      </c>
      <c r="I47" s="52">
        <f t="shared" si="76"/>
        <v>1</v>
      </c>
      <c r="J47" s="1">
        <v>60</v>
      </c>
      <c r="K47" s="52">
        <f>+I47*J47</f>
        <v>60</v>
      </c>
      <c r="L47" s="53">
        <v>35000</v>
      </c>
      <c r="M47" s="54">
        <f t="shared" si="77"/>
        <v>2100000</v>
      </c>
      <c r="N47" s="3">
        <f>+K47*$N$11</f>
        <v>0</v>
      </c>
      <c r="O47" s="53">
        <f>+M47*$O$11</f>
        <v>0</v>
      </c>
      <c r="P47" s="53">
        <f>+M47*$P$11</f>
        <v>0</v>
      </c>
      <c r="Q47" s="53">
        <f t="shared" si="78"/>
        <v>9450</v>
      </c>
      <c r="R47" s="55">
        <f t="shared" si="79"/>
        <v>9450</v>
      </c>
      <c r="S47" s="3">
        <f t="shared" si="80"/>
        <v>2959000</v>
      </c>
      <c r="T47" s="53">
        <f t="shared" si="81"/>
        <v>305805.02228979999</v>
      </c>
      <c r="U47" s="53">
        <f t="shared" si="82"/>
        <v>14795</v>
      </c>
      <c r="V47" s="53">
        <f t="shared" si="83"/>
        <v>35508</v>
      </c>
      <c r="W47" s="53">
        <f t="shared" si="84"/>
        <v>109334.520339</v>
      </c>
      <c r="X47" s="53">
        <f t="shared" si="85"/>
        <v>0</v>
      </c>
      <c r="Y47" s="67">
        <f t="shared" si="86"/>
        <v>465442.54262879997</v>
      </c>
      <c r="Z47" s="56">
        <f t="shared" si="87"/>
        <v>3218616</v>
      </c>
      <c r="AA47" s="3">
        <f t="shared" si="88"/>
        <v>643723</v>
      </c>
      <c r="AB47" s="57">
        <f t="shared" si="89"/>
        <v>0.19999993786149078</v>
      </c>
      <c r="AC47" s="56">
        <f t="shared" si="90"/>
        <v>2100000</v>
      </c>
      <c r="AD47" s="3">
        <f t="shared" si="91"/>
        <v>9450</v>
      </c>
      <c r="AE47" s="3">
        <f t="shared" si="92"/>
        <v>465442.54262879997</v>
      </c>
      <c r="AF47" s="58">
        <f t="shared" si="93"/>
        <v>643723</v>
      </c>
      <c r="AG47" s="68">
        <f t="shared" si="94"/>
        <v>0.45737119996920228</v>
      </c>
      <c r="AI47" s="73"/>
      <c r="AJ47" s="86"/>
      <c r="AK47" s="86"/>
      <c r="AL47" s="86"/>
      <c r="AM47" s="86"/>
    </row>
    <row r="48" spans="1:39">
      <c r="A48" s="580"/>
      <c r="B48" s="581"/>
      <c r="C48" s="584"/>
      <c r="D48" s="8" t="s">
        <v>81</v>
      </c>
      <c r="E48" s="1">
        <v>1</v>
      </c>
      <c r="F48" s="1">
        <v>1</v>
      </c>
      <c r="G48" s="52">
        <f t="shared" si="95"/>
        <v>1</v>
      </c>
      <c r="H48" s="100">
        <v>1</v>
      </c>
      <c r="I48" s="52">
        <f t="shared" si="76"/>
        <v>1</v>
      </c>
      <c r="J48" s="1">
        <v>1</v>
      </c>
      <c r="K48" s="52">
        <f>+I48*J48</f>
        <v>1</v>
      </c>
      <c r="L48" s="53">
        <f>+M45*20%</f>
        <v>3600000</v>
      </c>
      <c r="M48" s="54">
        <f t="shared" si="77"/>
        <v>3600000</v>
      </c>
      <c r="N48" s="3">
        <f>+K48*$N$11</f>
        <v>0</v>
      </c>
      <c r="O48" s="53">
        <f>+M48*$O$11</f>
        <v>0</v>
      </c>
      <c r="P48" s="53">
        <f>+M48*$P$11</f>
        <v>0</v>
      </c>
      <c r="Q48" s="53">
        <f t="shared" si="78"/>
        <v>16199.999999999998</v>
      </c>
      <c r="R48" s="55">
        <f t="shared" si="79"/>
        <v>16199.999999999998</v>
      </c>
      <c r="S48" s="3">
        <f t="shared" si="80"/>
        <v>5072000</v>
      </c>
      <c r="T48" s="53">
        <f t="shared" si="81"/>
        <v>524178.12539840001</v>
      </c>
      <c r="U48" s="53">
        <f t="shared" si="82"/>
        <v>25360</v>
      </c>
      <c r="V48" s="53">
        <f t="shared" si="83"/>
        <v>60864</v>
      </c>
      <c r="W48" s="53">
        <f t="shared" si="84"/>
        <v>187409.49211200001</v>
      </c>
      <c r="X48" s="53">
        <f t="shared" si="85"/>
        <v>0</v>
      </c>
      <c r="Y48" s="67">
        <f t="shared" si="86"/>
        <v>797811.61751040001</v>
      </c>
      <c r="Z48" s="56">
        <f t="shared" si="87"/>
        <v>5517515</v>
      </c>
      <c r="AA48" s="3">
        <f t="shared" si="88"/>
        <v>1103503</v>
      </c>
      <c r="AB48" s="57">
        <f t="shared" si="89"/>
        <v>0.2</v>
      </c>
      <c r="AC48" s="56">
        <f t="shared" si="90"/>
        <v>3600000</v>
      </c>
      <c r="AD48" s="3">
        <f t="shared" si="91"/>
        <v>16199.999999999998</v>
      </c>
      <c r="AE48" s="3">
        <f t="shared" si="92"/>
        <v>797811.61751040001</v>
      </c>
      <c r="AF48" s="58">
        <f t="shared" si="93"/>
        <v>1103503</v>
      </c>
      <c r="AG48" s="68">
        <f t="shared" si="94"/>
        <v>0.38248959998600185</v>
      </c>
      <c r="AI48" s="73"/>
      <c r="AJ48" s="86"/>
      <c r="AK48" s="86"/>
      <c r="AL48" s="86"/>
      <c r="AM48" s="86"/>
    </row>
    <row r="49" spans="1:39">
      <c r="A49" s="580"/>
      <c r="B49" s="581"/>
      <c r="C49" s="584"/>
      <c r="D49" s="8"/>
      <c r="E49" s="1">
        <v>0</v>
      </c>
      <c r="F49" s="1">
        <v>1</v>
      </c>
      <c r="G49" s="52">
        <f t="shared" si="95"/>
        <v>0</v>
      </c>
      <c r="H49" s="100">
        <v>0</v>
      </c>
      <c r="I49" s="52">
        <f t="shared" si="76"/>
        <v>0</v>
      </c>
      <c r="J49" s="1">
        <v>1</v>
      </c>
      <c r="K49" s="52">
        <f>+I49*J49</f>
        <v>0</v>
      </c>
      <c r="L49" s="53">
        <v>0</v>
      </c>
      <c r="M49" s="54">
        <f t="shared" si="77"/>
        <v>0</v>
      </c>
      <c r="N49" s="3">
        <f>+M49*$N$11*0</f>
        <v>0</v>
      </c>
      <c r="O49" s="53">
        <f>+M49*$O$11*0</f>
        <v>0</v>
      </c>
      <c r="P49" s="53">
        <f>+M49*$P$11*0</f>
        <v>0</v>
      </c>
      <c r="Q49" s="53">
        <f t="shared" si="78"/>
        <v>0</v>
      </c>
      <c r="R49" s="175">
        <f t="shared" si="79"/>
        <v>0</v>
      </c>
      <c r="S49" s="3">
        <f t="shared" si="80"/>
        <v>0</v>
      </c>
      <c r="T49" s="53">
        <f t="shared" si="81"/>
        <v>0</v>
      </c>
      <c r="U49" s="53">
        <f t="shared" si="82"/>
        <v>0</v>
      </c>
      <c r="V49" s="53">
        <f t="shared" si="83"/>
        <v>0</v>
      </c>
      <c r="W49" s="53">
        <f t="shared" si="84"/>
        <v>0</v>
      </c>
      <c r="X49" s="53">
        <f t="shared" si="85"/>
        <v>0</v>
      </c>
      <c r="Y49" s="67">
        <f t="shared" si="86"/>
        <v>0</v>
      </c>
      <c r="Z49" s="56">
        <f t="shared" si="87"/>
        <v>0</v>
      </c>
      <c r="AA49" s="3">
        <f t="shared" si="88"/>
        <v>0</v>
      </c>
      <c r="AB49" s="57" t="e">
        <f t="shared" si="89"/>
        <v>#DIV/0!</v>
      </c>
      <c r="AC49" s="56">
        <f t="shared" si="90"/>
        <v>0</v>
      </c>
      <c r="AD49" s="3">
        <f t="shared" si="91"/>
        <v>0</v>
      </c>
      <c r="AE49" s="3">
        <f t="shared" si="92"/>
        <v>0</v>
      </c>
      <c r="AF49" s="58">
        <f t="shared" si="93"/>
        <v>0</v>
      </c>
      <c r="AG49" s="68">
        <f t="shared" si="94"/>
        <v>0</v>
      </c>
      <c r="AI49" s="73"/>
      <c r="AJ49" s="86"/>
      <c r="AK49" s="86"/>
      <c r="AL49" s="86"/>
      <c r="AM49" s="86"/>
    </row>
    <row r="50" spans="1:39">
      <c r="A50" s="580"/>
      <c r="B50" s="581"/>
      <c r="C50" s="584"/>
      <c r="D50" s="71"/>
      <c r="K50" s="2"/>
      <c r="L50" s="53"/>
      <c r="M50" s="54"/>
      <c r="O50" s="53"/>
      <c r="P50" s="53"/>
      <c r="Q50" s="53"/>
      <c r="R50" s="175"/>
      <c r="S50" s="3"/>
      <c r="T50" s="53"/>
      <c r="U50" s="53"/>
      <c r="V50" s="53"/>
      <c r="W50" s="53"/>
      <c r="X50" s="53"/>
      <c r="Y50" s="67"/>
      <c r="Z50" s="56"/>
      <c r="AA50" s="3"/>
      <c r="AB50" s="72"/>
      <c r="AC50" s="56"/>
      <c r="AD50" s="3"/>
      <c r="AE50" s="3"/>
      <c r="AF50" s="58"/>
      <c r="AG50" s="68"/>
      <c r="AI50" s="73"/>
      <c r="AJ50" s="86"/>
      <c r="AK50" s="86"/>
      <c r="AL50" s="86"/>
      <c r="AM50" s="86"/>
    </row>
    <row r="51" spans="1:39" ht="12" thickBot="1">
      <c r="A51" s="580"/>
      <c r="B51" s="581"/>
      <c r="C51" s="585"/>
      <c r="D51" s="76" t="s">
        <v>69</v>
      </c>
      <c r="E51" s="77"/>
      <c r="F51" s="77"/>
      <c r="G51" s="78"/>
      <c r="H51" s="77"/>
      <c r="I51" s="78"/>
      <c r="J51" s="79"/>
      <c r="K51" s="78"/>
      <c r="L51" s="80"/>
      <c r="M51" s="117">
        <f t="shared" ref="M51:AA51" si="96">SUM(M43:M50)</f>
        <v>23955000</v>
      </c>
      <c r="N51" s="118">
        <f t="shared" si="96"/>
        <v>0</v>
      </c>
      <c r="O51" s="118">
        <f t="shared" si="96"/>
        <v>0</v>
      </c>
      <c r="P51" s="118">
        <f t="shared" si="96"/>
        <v>0</v>
      </c>
      <c r="Q51" s="118">
        <f t="shared" si="96"/>
        <v>107797.5</v>
      </c>
      <c r="R51" s="117">
        <f t="shared" si="96"/>
        <v>107797.5</v>
      </c>
      <c r="S51" s="117">
        <f t="shared" si="96"/>
        <v>33749000</v>
      </c>
      <c r="T51" s="117">
        <f t="shared" si="96"/>
        <v>3487872.1518278001</v>
      </c>
      <c r="U51" s="117">
        <f t="shared" si="96"/>
        <v>168745</v>
      </c>
      <c r="V51" s="117">
        <f t="shared" si="96"/>
        <v>404988</v>
      </c>
      <c r="W51" s="117">
        <f t="shared" si="96"/>
        <v>1247019.508929</v>
      </c>
      <c r="X51" s="117">
        <f t="shared" si="96"/>
        <v>0</v>
      </c>
      <c r="Y51" s="119">
        <f t="shared" si="96"/>
        <v>5308624.6607567994</v>
      </c>
      <c r="Z51" s="120">
        <f t="shared" si="96"/>
        <v>36714279</v>
      </c>
      <c r="AA51" s="118">
        <f t="shared" si="96"/>
        <v>7342856</v>
      </c>
      <c r="AB51" s="121">
        <f>+AA51/Z51</f>
        <v>0.20000000544747182</v>
      </c>
      <c r="AC51" s="117">
        <f>SUM(AC43:AC50)</f>
        <v>23955000</v>
      </c>
      <c r="AD51" s="117">
        <f>SUM(AD43:AD50)</f>
        <v>107797.5</v>
      </c>
      <c r="AE51" s="117">
        <f>SUM(AE43:AE50)</f>
        <v>5308624.6607567994</v>
      </c>
      <c r="AF51" s="122">
        <f>SUM(AF43:AF50)</f>
        <v>7342856</v>
      </c>
      <c r="AG51" s="68">
        <f t="shared" ref="AG51:AG52" si="97">+Z51-AC51-AD51-AE51-AF51</f>
        <v>0.83924320060759783</v>
      </c>
      <c r="AI51" s="73"/>
      <c r="AJ51" s="86"/>
      <c r="AK51" s="86"/>
      <c r="AL51" s="86"/>
      <c r="AM51" s="86"/>
    </row>
    <row r="52" spans="1:39">
      <c r="M52" s="123"/>
      <c r="AG52" s="68">
        <f t="shared" si="97"/>
        <v>0</v>
      </c>
    </row>
    <row r="53" spans="1:39" s="124" customFormat="1">
      <c r="D53" s="125" t="s">
        <v>82</v>
      </c>
      <c r="G53" s="126"/>
      <c r="I53" s="126"/>
      <c r="K53" s="127">
        <f>+K51+K41+K30</f>
        <v>16884</v>
      </c>
      <c r="L53" s="127"/>
      <c r="M53" s="127">
        <f>+M51+M41+M30</f>
        <v>2080716210.7399998</v>
      </c>
      <c r="N53" s="127"/>
      <c r="O53" s="128"/>
      <c r="P53" s="128"/>
      <c r="Q53" s="127">
        <f t="shared" ref="Q53:AG53" si="98">+Q51+Q41+Q30</f>
        <v>9363222.94833</v>
      </c>
      <c r="R53" s="127">
        <f t="shared" si="98"/>
        <v>9363222.94833</v>
      </c>
      <c r="S53" s="127">
        <f t="shared" si="98"/>
        <v>2931389000</v>
      </c>
      <c r="T53" s="127">
        <f t="shared" si="98"/>
        <v>302951496.61543584</v>
      </c>
      <c r="U53" s="127">
        <f t="shared" si="98"/>
        <v>14656945</v>
      </c>
      <c r="V53" s="127">
        <f t="shared" si="98"/>
        <v>35176668</v>
      </c>
      <c r="W53" s="127">
        <f t="shared" si="98"/>
        <v>108314298.83136901</v>
      </c>
      <c r="X53" s="127">
        <f t="shared" si="98"/>
        <v>0</v>
      </c>
      <c r="Y53" s="127">
        <f t="shared" si="98"/>
        <v>461099408.44680476</v>
      </c>
      <c r="Z53" s="127">
        <f>+Z51+Z41+Z30</f>
        <v>3215433620.5500002</v>
      </c>
      <c r="AA53" s="127">
        <f t="shared" si="98"/>
        <v>664254779</v>
      </c>
      <c r="AB53" s="127">
        <f t="shared" si="98"/>
        <v>0.60855075671717007</v>
      </c>
      <c r="AC53" s="127">
        <f t="shared" si="98"/>
        <v>2080716210.7399998</v>
      </c>
      <c r="AD53" s="127">
        <f t="shared" si="98"/>
        <v>9363222.94833</v>
      </c>
      <c r="AE53" s="127">
        <f t="shared" si="98"/>
        <v>461099408.44680476</v>
      </c>
      <c r="AF53" s="127">
        <f t="shared" si="98"/>
        <v>664254779</v>
      </c>
      <c r="AG53" s="127">
        <f t="shared" si="98"/>
        <v>-0.58513438981026411</v>
      </c>
    </row>
    <row r="54" spans="1:39">
      <c r="D54" s="4"/>
      <c r="M54" s="5"/>
      <c r="N54" s="5"/>
      <c r="O54" s="5"/>
      <c r="P54" s="5"/>
      <c r="Q54" s="5"/>
      <c r="R54" s="5"/>
      <c r="S54" s="5"/>
      <c r="T54" s="5"/>
      <c r="U54" s="5"/>
      <c r="V54" s="5"/>
      <c r="W54" s="5"/>
      <c r="X54" s="5"/>
      <c r="Y54" s="129"/>
      <c r="Z54" s="5"/>
      <c r="AA54" s="129"/>
      <c r="AB54" s="130"/>
      <c r="AC54" s="131"/>
      <c r="AD54" s="131"/>
      <c r="AE54" s="131"/>
      <c r="AF54" s="131"/>
      <c r="AG54" s="132"/>
    </row>
    <row r="55" spans="1:39">
      <c r="D55" s="4" t="str">
        <f>+A4</f>
        <v>Entidad</v>
      </c>
      <c r="E55" s="1" t="str">
        <f>+D4</f>
        <v>CCB</v>
      </c>
      <c r="K55" s="3"/>
      <c r="M55" s="5"/>
      <c r="N55" s="129"/>
      <c r="O55" s="5"/>
      <c r="P55" s="5"/>
      <c r="Q55" s="5"/>
      <c r="R55" s="5"/>
      <c r="S55" s="5"/>
      <c r="T55" s="129"/>
      <c r="U55" s="129"/>
      <c r="V55" s="129"/>
      <c r="W55" s="129"/>
      <c r="X55" s="129"/>
      <c r="Y55" s="32"/>
      <c r="Z55" s="5"/>
      <c r="AA55" s="129"/>
      <c r="AB55" s="130"/>
      <c r="AC55" s="5"/>
      <c r="AD55" s="5"/>
      <c r="AE55" s="129"/>
      <c r="AF55" s="5"/>
      <c r="AG55" s="132"/>
    </row>
    <row r="56" spans="1:39">
      <c r="D56" s="4" t="str">
        <f>+A5</f>
        <v>Nombre del Proyecto</v>
      </c>
      <c r="E56" s="1" t="str">
        <f>+D5</f>
        <v>RETAS DE FORTALECIMIENTO</v>
      </c>
      <c r="K56" s="3"/>
      <c r="M56" s="5"/>
      <c r="N56" s="11"/>
      <c r="O56" s="5"/>
      <c r="P56" s="5"/>
      <c r="Q56" s="5"/>
      <c r="R56" s="5"/>
      <c r="S56" s="5"/>
      <c r="T56" s="5"/>
      <c r="U56" s="5"/>
      <c r="V56" s="5"/>
      <c r="W56" s="5"/>
      <c r="X56" s="5"/>
      <c r="Y56" s="129"/>
      <c r="Z56" s="5"/>
      <c r="AA56" s="129"/>
      <c r="AB56" s="130"/>
      <c r="AC56" s="5"/>
      <c r="AD56" s="5"/>
      <c r="AE56" s="5"/>
      <c r="AF56" s="5"/>
      <c r="AG56" s="132"/>
    </row>
    <row r="57" spans="1:39">
      <c r="D57" s="4" t="str">
        <f>+A6</f>
        <v>Tipo de Proyecto</v>
      </c>
      <c r="E57" s="1" t="str">
        <f>+D6</f>
        <v>CONTRATO</v>
      </c>
      <c r="K57" s="3"/>
      <c r="L57" s="133"/>
      <c r="M57" s="5"/>
      <c r="N57" s="11"/>
      <c r="O57" s="5"/>
      <c r="P57" s="5"/>
      <c r="Q57" s="5"/>
      <c r="R57" s="5"/>
      <c r="S57" s="5"/>
      <c r="T57" s="5"/>
      <c r="U57" s="5"/>
      <c r="V57" s="5"/>
      <c r="W57" s="5"/>
      <c r="X57" s="5"/>
      <c r="Y57" s="5"/>
      <c r="Z57" s="5"/>
      <c r="AA57" s="5"/>
      <c r="AB57" s="130"/>
      <c r="AC57" s="5"/>
      <c r="AD57" s="5"/>
      <c r="AE57" s="5"/>
      <c r="AF57" s="5"/>
      <c r="AG57" s="132"/>
    </row>
    <row r="58" spans="1:39">
      <c r="D58" s="4" t="str">
        <f>+A7</f>
        <v>Tiempo de Ejecucion</v>
      </c>
      <c r="E58" s="1" t="str">
        <f>+D7</f>
        <v>11 MESES</v>
      </c>
      <c r="M58" s="5"/>
      <c r="N58" s="5"/>
      <c r="AG58" s="3"/>
    </row>
    <row r="59" spans="1:39" s="124" customFormat="1" ht="22.5">
      <c r="A59" s="134" t="s">
        <v>11</v>
      </c>
      <c r="B59" s="593" t="s">
        <v>83</v>
      </c>
      <c r="C59" s="593"/>
      <c r="D59" s="593"/>
      <c r="E59" s="135" t="str">
        <f>+Z9</f>
        <v>Precio de Venta</v>
      </c>
      <c r="F59" s="135" t="str">
        <f>+AC9</f>
        <v>Costo Directo</v>
      </c>
      <c r="G59" s="135" t="s">
        <v>15</v>
      </c>
      <c r="H59" s="135" t="str">
        <f>+AE9</f>
        <v>Gastos de Administracion</v>
      </c>
      <c r="I59" s="135" t="str">
        <f>+AF9</f>
        <v>Rentabilidad Calculada</v>
      </c>
      <c r="J59" s="1"/>
      <c r="M59" s="136"/>
      <c r="N59" s="128"/>
      <c r="Z59" s="137"/>
      <c r="AA59" s="137"/>
    </row>
    <row r="60" spans="1:39" ht="24.75" customHeight="1" thickBot="1">
      <c r="A60" s="138">
        <f>+C12</f>
        <v>0</v>
      </c>
      <c r="B60" s="594"/>
      <c r="C60" s="595"/>
      <c r="D60" s="139" t="s">
        <v>84</v>
      </c>
      <c r="E60" s="140">
        <f>+Z53</f>
        <v>3215433620.5500002</v>
      </c>
      <c r="F60" s="141">
        <f>+M53</f>
        <v>2080716210.7399998</v>
      </c>
      <c r="G60" s="141">
        <f>+R53</f>
        <v>9363222.94833</v>
      </c>
      <c r="H60" s="141">
        <f>+Y53</f>
        <v>461099408.44680476</v>
      </c>
      <c r="I60" s="141">
        <f>+AA53-1</f>
        <v>664254778</v>
      </c>
      <c r="J60" s="3"/>
      <c r="K60" s="3"/>
      <c r="M60" s="142"/>
      <c r="N60" s="5"/>
    </row>
    <row r="61" spans="1:39">
      <c r="C61" s="143" t="s">
        <v>84</v>
      </c>
      <c r="D61" s="144"/>
      <c r="E61" s="144">
        <f>SUM(E60:E60)</f>
        <v>3215433620.5500002</v>
      </c>
      <c r="F61" s="144">
        <f>SUM(F60:F60)</f>
        <v>2080716210.7399998</v>
      </c>
      <c r="G61" s="144">
        <f>SUM(G60:G60)</f>
        <v>9363222.94833</v>
      </c>
      <c r="H61" s="144">
        <f>SUM(H60:H60)</f>
        <v>461099408.44680476</v>
      </c>
      <c r="I61" s="144">
        <f>SUM(I60:I60)</f>
        <v>664254778</v>
      </c>
      <c r="J61" s="3"/>
      <c r="K61" s="145"/>
      <c r="L61" s="3"/>
      <c r="M61" s="3"/>
      <c r="O61" s="3"/>
    </row>
    <row r="62" spans="1:39">
      <c r="C62" s="146" t="s">
        <v>85</v>
      </c>
      <c r="D62" s="147"/>
      <c r="E62" s="147">
        <f>+E61/E61</f>
        <v>1</v>
      </c>
      <c r="F62" s="147">
        <f>+F61/E61</f>
        <v>0.64710283472873964</v>
      </c>
      <c r="G62" s="147">
        <f>+G61/E61</f>
        <v>2.9119627562793288E-3</v>
      </c>
      <c r="H62" s="147">
        <f>+H61/E61</f>
        <v>0.1434019366781186</v>
      </c>
      <c r="I62" s="147">
        <f>+I61/E61</f>
        <v>0.20658326570783916</v>
      </c>
      <c r="L62" s="3"/>
      <c r="M62" s="3"/>
      <c r="O62" s="3"/>
    </row>
    <row r="63" spans="1:39">
      <c r="E63" s="3"/>
      <c r="F63" s="3"/>
      <c r="L63" s="3"/>
      <c r="P63" s="3"/>
    </row>
    <row r="64" spans="1:39">
      <c r="D64" s="1" t="s">
        <v>86</v>
      </c>
      <c r="E64" s="3">
        <f>+AI30</f>
        <v>2929405553.6719999</v>
      </c>
      <c r="F64" s="10">
        <v>0.34</v>
      </c>
      <c r="L64" s="3"/>
      <c r="P64" s="3"/>
    </row>
    <row r="65" spans="4:18">
      <c r="D65" s="1" t="s">
        <v>87</v>
      </c>
      <c r="E65" s="3">
        <f>+E61-E64</f>
        <v>286028066.87800026</v>
      </c>
      <c r="F65" s="10">
        <v>0.2</v>
      </c>
      <c r="M65" s="3"/>
    </row>
    <row r="66" spans="4:18">
      <c r="D66" s="1" t="s">
        <v>88</v>
      </c>
      <c r="F66" s="65" t="s">
        <v>89</v>
      </c>
      <c r="M66" s="3"/>
    </row>
    <row r="67" spans="4:18">
      <c r="M67" s="3"/>
    </row>
    <row r="68" spans="4:18" ht="12">
      <c r="D68" s="148" t="s">
        <v>90</v>
      </c>
      <c r="M68" s="3"/>
    </row>
    <row r="69" spans="4:18">
      <c r="D69" s="149" t="s">
        <v>91</v>
      </c>
      <c r="E69" s="150" t="s">
        <v>92</v>
      </c>
      <c r="F69" s="150" t="s">
        <v>93</v>
      </c>
      <c r="G69" s="151" t="s">
        <v>94</v>
      </c>
      <c r="H69" s="3"/>
      <c r="I69" s="52"/>
      <c r="L69" s="3"/>
      <c r="M69" s="3"/>
      <c r="O69" s="3"/>
      <c r="P69" s="152"/>
      <c r="R69" s="3"/>
    </row>
    <row r="70" spans="4:18" ht="15" customHeight="1">
      <c r="D70" s="153" t="str">
        <f t="shared" ref="D70:D83" si="99">+D14</f>
        <v>ECONOMÍA POPULAR</v>
      </c>
      <c r="E70" s="141">
        <f>+K14</f>
        <v>1310</v>
      </c>
      <c r="F70" s="154">
        <v>251770292.5418157</v>
      </c>
      <c r="G70" s="155">
        <f t="shared" ref="G70:G83" si="100">+F70/E70</f>
        <v>192191.06300901962</v>
      </c>
      <c r="H70" s="3"/>
      <c r="I70" s="3">
        <v>165380</v>
      </c>
      <c r="J70" s="182">
        <f>+G70-I70</f>
        <v>26811.063009019621</v>
      </c>
      <c r="K70" s="131">
        <f>+J70/I70</f>
        <v>0.16211792846184314</v>
      </c>
      <c r="L70" s="3"/>
      <c r="M70" s="3"/>
      <c r="N70" s="131"/>
      <c r="O70" s="3"/>
      <c r="P70" s="131"/>
    </row>
    <row r="71" spans="4:18" ht="15" customHeight="1">
      <c r="D71" s="153" t="str">
        <f t="shared" si="99"/>
        <v>EMPRENDIMIENTO E INNOVACION</v>
      </c>
      <c r="E71" s="141">
        <f>+K15</f>
        <v>2027</v>
      </c>
      <c r="F71" s="154">
        <v>494678738.60835278</v>
      </c>
      <c r="G71" s="155">
        <f t="shared" si="100"/>
        <v>244044.76497698706</v>
      </c>
      <c r="H71" s="3"/>
      <c r="I71" s="3">
        <v>210000</v>
      </c>
      <c r="J71" s="182">
        <f t="shared" ref="J71:J74" si="101">+G71-I71</f>
        <v>34044.764976987062</v>
      </c>
      <c r="K71" s="131">
        <f t="shared" ref="K71:K74" si="102">+J71/I71</f>
        <v>0.16211792846184314</v>
      </c>
      <c r="M71" s="3"/>
      <c r="O71" s="3"/>
      <c r="P71" s="3"/>
      <c r="Q71" s="3"/>
    </row>
    <row r="72" spans="4:18" ht="15" customHeight="1">
      <c r="D72" s="153" t="str">
        <f t="shared" si="99"/>
        <v>COLEGIOS</v>
      </c>
      <c r="E72" s="141">
        <f>+K16</f>
        <v>426</v>
      </c>
      <c r="F72" s="154">
        <v>86824015.217089802</v>
      </c>
      <c r="G72" s="155">
        <f t="shared" si="100"/>
        <v>203812.24229363803</v>
      </c>
      <c r="H72" s="3"/>
      <c r="I72" s="3">
        <v>175380</v>
      </c>
      <c r="J72" s="182">
        <f t="shared" si="101"/>
        <v>28432.242293638032</v>
      </c>
      <c r="K72" s="131">
        <f t="shared" si="102"/>
        <v>0.16211792846184303</v>
      </c>
      <c r="M72" s="3"/>
      <c r="O72" s="3"/>
      <c r="P72" s="3"/>
      <c r="Q72" s="3"/>
      <c r="R72" s="3"/>
    </row>
    <row r="73" spans="4:18" ht="15" customHeight="1">
      <c r="D73" s="153" t="str">
        <f t="shared" si="99"/>
        <v>PROGRAMACIÓN ABIERTA Y REGIÓN</v>
      </c>
      <c r="E73" s="141">
        <f>+K17</f>
        <v>1142</v>
      </c>
      <c r="F73" s="154">
        <v>219482193.95630041</v>
      </c>
      <c r="G73" s="155">
        <f t="shared" si="100"/>
        <v>192191.06300901962</v>
      </c>
      <c r="H73" s="3"/>
      <c r="I73" s="3">
        <v>165380</v>
      </c>
      <c r="J73" s="182">
        <f t="shared" si="101"/>
        <v>26811.063009019621</v>
      </c>
      <c r="K73" s="131">
        <f t="shared" si="102"/>
        <v>0.16211792846184314</v>
      </c>
    </row>
    <row r="74" spans="4:18" ht="15" customHeight="1">
      <c r="D74" s="153" t="str">
        <f t="shared" si="99"/>
        <v>INTERNACIONALIZACIÓN</v>
      </c>
      <c r="E74" s="141">
        <f>+K18</f>
        <v>1497</v>
      </c>
      <c r="F74" s="154">
        <v>305106926.71357614</v>
      </c>
      <c r="G74" s="155">
        <f t="shared" si="100"/>
        <v>203812.24229363803</v>
      </c>
      <c r="H74" s="3"/>
      <c r="I74" s="3">
        <v>175380</v>
      </c>
      <c r="J74" s="182">
        <f t="shared" si="101"/>
        <v>28432.242293638032</v>
      </c>
      <c r="K74" s="131">
        <f t="shared" si="102"/>
        <v>0.16211792846184303</v>
      </c>
    </row>
    <row r="75" spans="4:18" ht="27" customHeight="1">
      <c r="D75" s="153" t="str">
        <f t="shared" si="99"/>
        <v>INTERNACIONALIZACION - Entregable -  Preseleccion de mercado</v>
      </c>
      <c r="E75" s="141">
        <f>+E19</f>
        <v>245</v>
      </c>
      <c r="F75" s="154">
        <f>+Z19</f>
        <v>50715073.599999994</v>
      </c>
      <c r="G75" s="155">
        <f t="shared" si="100"/>
        <v>207000.30040816325</v>
      </c>
      <c r="H75" s="3"/>
      <c r="I75" s="3">
        <f>+AN19</f>
        <v>207000.30040816325</v>
      </c>
    </row>
    <row r="76" spans="4:18" ht="27.75" customHeight="1">
      <c r="D76" s="153" t="str">
        <f t="shared" si="99"/>
        <v>INTERNACIONALIZACION - Entregable -  MarketFit</v>
      </c>
      <c r="E76" s="141">
        <f>+E75</f>
        <v>245</v>
      </c>
      <c r="F76" s="154">
        <f>+Z20</f>
        <v>101430148.34999999</v>
      </c>
      <c r="G76" s="155">
        <f t="shared" si="100"/>
        <v>414000.60551020404</v>
      </c>
      <c r="H76" s="3"/>
      <c r="I76" s="3">
        <f>+AN20</f>
        <v>414000.60551020404</v>
      </c>
    </row>
    <row r="77" spans="4:18" ht="30.75" customHeight="1">
      <c r="D77" s="153" t="str">
        <f t="shared" si="99"/>
        <v>INTERNACIONALIZACION - Entregable -  One Pager</v>
      </c>
      <c r="E77" s="141">
        <f>+E76</f>
        <v>245</v>
      </c>
      <c r="F77" s="154">
        <f>+Z21</f>
        <v>50715073.599999994</v>
      </c>
      <c r="G77" s="155">
        <f t="shared" si="100"/>
        <v>207000.30040816325</v>
      </c>
      <c r="H77" s="3"/>
      <c r="I77" s="3">
        <f>+AN21</f>
        <v>207000.30040816325</v>
      </c>
    </row>
    <row r="78" spans="4:18" ht="15" customHeight="1">
      <c r="D78" s="153" t="str">
        <f t="shared" si="99"/>
        <v>CICLOS FOCALIZADOS - ALIMENTOS</v>
      </c>
      <c r="E78" s="141">
        <f t="shared" ref="E78:E83" si="103">+K22</f>
        <v>1970</v>
      </c>
      <c r="F78" s="154">
        <v>378616394.12776864</v>
      </c>
      <c r="G78" s="155">
        <f t="shared" si="100"/>
        <v>192191.06300901962</v>
      </c>
      <c r="H78" s="3"/>
      <c r="I78" s="3">
        <v>165380</v>
      </c>
      <c r="J78" s="182">
        <f t="shared" ref="J78:J83" si="104">+G78-I78</f>
        <v>26811.063009019621</v>
      </c>
      <c r="K78" s="131">
        <f t="shared" ref="K78:K83" si="105">+J78/I78</f>
        <v>0.16211792846184314</v>
      </c>
    </row>
    <row r="79" spans="4:18" ht="22.5">
      <c r="D79" s="153" t="str">
        <f t="shared" si="99"/>
        <v>CICLOS FOCALIZADOS - ESTRATEGIA FINANCIERA PARA EL SECTOR MODA E ICC</v>
      </c>
      <c r="E79" s="141">
        <f t="shared" si="103"/>
        <v>846</v>
      </c>
      <c r="F79" s="154">
        <v>162593639.30563059</v>
      </c>
      <c r="G79" s="155">
        <f t="shared" si="100"/>
        <v>192191.06300901962</v>
      </c>
      <c r="H79" s="3"/>
      <c r="I79" s="3">
        <v>165380</v>
      </c>
      <c r="J79" s="182">
        <f t="shared" si="104"/>
        <v>26811.063009019621</v>
      </c>
      <c r="K79" s="131">
        <f t="shared" si="105"/>
        <v>0.16211792846184314</v>
      </c>
    </row>
    <row r="80" spans="4:18" ht="33.75">
      <c r="D80" s="153" t="str">
        <f t="shared" si="99"/>
        <v>CICLOS FOCALIZADOS - FORTALECIMIENTO DE EQUIPOS DE VENTA PARA EL SECTOR MODA</v>
      </c>
      <c r="E80" s="141">
        <f t="shared" si="103"/>
        <v>644</v>
      </c>
      <c r="F80" s="154">
        <v>123771044.57780863</v>
      </c>
      <c r="G80" s="155">
        <f t="shared" si="100"/>
        <v>192191.06300901962</v>
      </c>
      <c r="H80" s="3"/>
      <c r="I80" s="3">
        <v>165380</v>
      </c>
      <c r="J80" s="182">
        <f t="shared" si="104"/>
        <v>26811.063009019621</v>
      </c>
      <c r="K80" s="131">
        <f t="shared" si="105"/>
        <v>0.16211792846184314</v>
      </c>
      <c r="O80" s="3"/>
    </row>
    <row r="81" spans="3:15" ht="15" customHeight="1">
      <c r="D81" s="153" t="str">
        <f t="shared" si="99"/>
        <v>CICLOS FOCALIZADOS - MULTISECTORIAL</v>
      </c>
      <c r="E81" s="141">
        <f t="shared" si="103"/>
        <v>4538</v>
      </c>
      <c r="F81" s="154">
        <v>872163043.93493104</v>
      </c>
      <c r="G81" s="155">
        <f t="shared" si="100"/>
        <v>192191.06300901962</v>
      </c>
      <c r="H81" s="3"/>
      <c r="I81" s="3">
        <v>165380</v>
      </c>
      <c r="J81" s="182">
        <f t="shared" si="104"/>
        <v>26811.063009019621</v>
      </c>
      <c r="K81" s="131">
        <f t="shared" si="105"/>
        <v>0.16211792846184314</v>
      </c>
      <c r="O81" s="3"/>
    </row>
    <row r="82" spans="3:15" ht="15.75" customHeight="1">
      <c r="D82" s="153" t="str">
        <f t="shared" si="99"/>
        <v>CICLOS FINANCIERO Y PRODUCTIVIDAD</v>
      </c>
      <c r="E82" s="141">
        <f t="shared" si="103"/>
        <v>364</v>
      </c>
      <c r="F82" s="154">
        <v>69957546.935283139</v>
      </c>
      <c r="G82" s="155">
        <f t="shared" si="100"/>
        <v>192191.06300901962</v>
      </c>
      <c r="H82" s="3"/>
      <c r="I82" s="3">
        <v>165380</v>
      </c>
      <c r="J82" s="182">
        <f t="shared" si="104"/>
        <v>26811.063009019621</v>
      </c>
      <c r="K82" s="131">
        <f t="shared" si="105"/>
        <v>0.16211792846184314</v>
      </c>
      <c r="O82" s="5"/>
    </row>
    <row r="83" spans="3:15" ht="33.75">
      <c r="D83" s="153" t="str">
        <f t="shared" si="99"/>
        <v>MENTORÍA, VOLUNTARIADO Y PROGRAMACIÓN REGIÓN (FORO PRESIDENTES)</v>
      </c>
      <c r="E83" s="141">
        <f t="shared" si="103"/>
        <v>160</v>
      </c>
      <c r="F83" s="154">
        <v>30750570.081443138</v>
      </c>
      <c r="G83" s="155">
        <f t="shared" si="100"/>
        <v>192191.06300901962</v>
      </c>
      <c r="H83" s="3"/>
      <c r="I83" s="3">
        <v>165380</v>
      </c>
      <c r="J83" s="182">
        <f t="shared" si="104"/>
        <v>26811.063009019621</v>
      </c>
      <c r="K83" s="131">
        <f t="shared" si="105"/>
        <v>0.16211792846184314</v>
      </c>
      <c r="O83" s="3"/>
    </row>
    <row r="84" spans="3:15">
      <c r="D84" s="156" t="s">
        <v>95</v>
      </c>
      <c r="E84" s="150">
        <f>SUM(E70:E83)</f>
        <v>15659</v>
      </c>
      <c r="F84" s="150">
        <f>SUM(F70:F83)</f>
        <v>3198574701.5500002</v>
      </c>
      <c r="G84" s="3"/>
      <c r="H84" s="3"/>
      <c r="I84" s="52"/>
      <c r="O84" s="3"/>
    </row>
    <row r="85" spans="3:15">
      <c r="E85" s="3"/>
      <c r="F85" s="10"/>
      <c r="G85" s="3"/>
      <c r="H85" s="3"/>
      <c r="I85" s="52"/>
      <c r="O85" s="5"/>
    </row>
    <row r="86" spans="3:15">
      <c r="H86" s="3"/>
      <c r="I86" s="52"/>
    </row>
    <row r="87" spans="3:15">
      <c r="H87" s="3"/>
      <c r="I87" s="52"/>
    </row>
    <row r="88" spans="3:15" ht="12">
      <c r="C88" s="596" t="s">
        <v>96</v>
      </c>
      <c r="D88" s="596"/>
      <c r="E88" s="596"/>
      <c r="F88" s="158" t="s">
        <v>97</v>
      </c>
      <c r="J88" s="157"/>
      <c r="K88" s="131"/>
    </row>
    <row r="89" spans="3:15" ht="12">
      <c r="C89" s="159" t="s">
        <v>98</v>
      </c>
      <c r="D89" s="160"/>
      <c r="E89" s="160"/>
      <c r="F89" s="161"/>
      <c r="J89" s="157"/>
      <c r="K89" s="131"/>
    </row>
    <row r="90" spans="3:15" ht="12">
      <c r="C90" s="159" t="s">
        <v>99</v>
      </c>
      <c r="D90" s="160"/>
      <c r="E90" s="160"/>
      <c r="F90" s="162"/>
    </row>
    <row r="91" spans="3:15" ht="12">
      <c r="C91" s="159" t="s">
        <v>100</v>
      </c>
      <c r="D91" s="160"/>
      <c r="E91" s="160"/>
      <c r="F91" s="162"/>
    </row>
    <row r="92" spans="3:15" ht="12">
      <c r="C92" s="159" t="s">
        <v>101</v>
      </c>
      <c r="D92" s="163"/>
      <c r="E92" s="163"/>
      <c r="F92" s="162"/>
    </row>
    <row r="93" spans="3:15" ht="12">
      <c r="C93" s="159" t="s">
        <v>102</v>
      </c>
      <c r="D93" s="163"/>
      <c r="E93" s="163"/>
      <c r="F93" s="162"/>
    </row>
    <row r="94" spans="3:15" ht="12">
      <c r="C94" s="159" t="s">
        <v>103</v>
      </c>
      <c r="D94" s="163"/>
      <c r="E94" s="163"/>
      <c r="F94" s="162">
        <f>+E60</f>
        <v>3215433620.5500002</v>
      </c>
    </row>
    <row r="95" spans="3:15" ht="12">
      <c r="C95" s="159" t="s">
        <v>104</v>
      </c>
      <c r="D95" s="163"/>
      <c r="E95" s="163"/>
      <c r="F95" s="162"/>
    </row>
    <row r="96" spans="3:15" ht="12">
      <c r="C96" s="159" t="s">
        <v>105</v>
      </c>
      <c r="D96" s="163"/>
      <c r="E96" s="163"/>
      <c r="F96" s="162"/>
    </row>
    <row r="97" spans="3:17" ht="12">
      <c r="C97" s="597" t="s">
        <v>106</v>
      </c>
      <c r="D97" s="598"/>
      <c r="E97" s="598"/>
      <c r="F97" s="164">
        <f>SUM(F89:F96)</f>
        <v>3215433620.5500002</v>
      </c>
    </row>
    <row r="98" spans="3:17" ht="12">
      <c r="C98" s="591" t="s">
        <v>107</v>
      </c>
      <c r="D98" s="592"/>
      <c r="E98" s="592"/>
      <c r="F98" s="162"/>
    </row>
    <row r="99" spans="3:17" ht="12">
      <c r="C99" s="591" t="s">
        <v>108</v>
      </c>
      <c r="D99" s="592"/>
      <c r="E99" s="592"/>
      <c r="F99" s="162"/>
      <c r="O99" s="3"/>
    </row>
    <row r="100" spans="3:17" ht="12">
      <c r="C100" s="591" t="s">
        <v>109</v>
      </c>
      <c r="D100" s="592"/>
      <c r="E100" s="592"/>
      <c r="F100" s="165"/>
      <c r="O100" s="3"/>
      <c r="Q100" s="3"/>
    </row>
    <row r="101" spans="3:17" ht="12">
      <c r="C101" s="591" t="s">
        <v>110</v>
      </c>
      <c r="D101" s="592"/>
      <c r="E101" s="592"/>
      <c r="F101" s="165">
        <f>+F61+Q53+W53</f>
        <v>2198393732.5196986</v>
      </c>
      <c r="O101" s="3"/>
    </row>
    <row r="102" spans="3:17" ht="12">
      <c r="C102" s="591" t="s">
        <v>111</v>
      </c>
      <c r="D102" s="592"/>
      <c r="E102" s="592"/>
      <c r="F102" s="162"/>
      <c r="O102" s="3"/>
    </row>
    <row r="103" spans="3:17" ht="12">
      <c r="C103" s="591" t="s">
        <v>112</v>
      </c>
      <c r="D103" s="592"/>
      <c r="E103" s="592"/>
      <c r="F103" s="162"/>
      <c r="Q103" s="3"/>
    </row>
    <row r="104" spans="3:17" ht="12">
      <c r="C104" s="591" t="s">
        <v>113</v>
      </c>
      <c r="D104" s="592"/>
      <c r="E104" s="592"/>
      <c r="F104" s="162"/>
    </row>
    <row r="105" spans="3:17" ht="12">
      <c r="C105" s="591" t="s">
        <v>114</v>
      </c>
      <c r="D105" s="592"/>
      <c r="E105" s="592"/>
      <c r="F105" s="162"/>
    </row>
    <row r="106" spans="3:17" ht="12">
      <c r="C106" s="591" t="s">
        <v>115</v>
      </c>
      <c r="D106" s="592"/>
      <c r="E106" s="592"/>
      <c r="F106" s="162"/>
    </row>
    <row r="107" spans="3:17" ht="12">
      <c r="C107" s="591" t="s">
        <v>116</v>
      </c>
      <c r="D107" s="592"/>
      <c r="E107" s="592"/>
      <c r="F107" s="165"/>
    </row>
    <row r="108" spans="3:17" ht="12">
      <c r="C108" s="591" t="s">
        <v>117</v>
      </c>
      <c r="D108" s="592"/>
      <c r="E108" s="592"/>
      <c r="F108" s="162"/>
    </row>
    <row r="109" spans="3:17" ht="12">
      <c r="C109" s="591" t="s">
        <v>118</v>
      </c>
      <c r="D109" s="592"/>
      <c r="E109" s="592"/>
      <c r="F109" s="165"/>
    </row>
    <row r="110" spans="3:17" ht="12">
      <c r="C110" s="591" t="s">
        <v>119</v>
      </c>
      <c r="D110" s="592"/>
      <c r="E110" s="592"/>
      <c r="F110" s="162"/>
    </row>
    <row r="111" spans="3:17" ht="12">
      <c r="C111" s="597" t="s">
        <v>120</v>
      </c>
      <c r="D111" s="598"/>
      <c r="E111" s="598"/>
      <c r="F111" s="164">
        <f>SUM(F98:F110)</f>
        <v>2198393732.5196986</v>
      </c>
    </row>
    <row r="112" spans="3:17" ht="12">
      <c r="C112" s="591" t="s">
        <v>121</v>
      </c>
      <c r="D112" s="592"/>
      <c r="E112" s="592"/>
      <c r="F112" s="165">
        <f>+T53</f>
        <v>302951496.61543584</v>
      </c>
    </row>
    <row r="113" spans="3:6" ht="12">
      <c r="C113" s="591" t="s">
        <v>122</v>
      </c>
      <c r="D113" s="592"/>
      <c r="E113" s="592"/>
      <c r="F113" s="162"/>
    </row>
    <row r="114" spans="3:6" ht="12">
      <c r="C114" s="591" t="s">
        <v>123</v>
      </c>
      <c r="D114" s="592"/>
      <c r="E114" s="592"/>
      <c r="F114" s="162"/>
    </row>
    <row r="115" spans="3:6" ht="12">
      <c r="C115" s="591" t="s">
        <v>124</v>
      </c>
      <c r="D115" s="592"/>
      <c r="E115" s="592"/>
      <c r="F115" s="162"/>
    </row>
    <row r="116" spans="3:6" ht="12">
      <c r="C116" s="591" t="s">
        <v>125</v>
      </c>
      <c r="D116" s="592"/>
      <c r="E116" s="592"/>
      <c r="F116" s="162"/>
    </row>
    <row r="117" spans="3:6" ht="12">
      <c r="C117" s="591" t="s">
        <v>126</v>
      </c>
      <c r="D117" s="592"/>
      <c r="E117" s="592"/>
      <c r="F117" s="165">
        <f>+X71</f>
        <v>0</v>
      </c>
    </row>
    <row r="118" spans="3:6" ht="12">
      <c r="C118" s="591" t="s">
        <v>127</v>
      </c>
      <c r="D118" s="592"/>
      <c r="E118" s="592"/>
      <c r="F118" s="162"/>
    </row>
    <row r="119" spans="3:6" ht="12">
      <c r="C119" s="591" t="s">
        <v>128</v>
      </c>
      <c r="D119" s="592"/>
      <c r="E119" s="592"/>
      <c r="F119" s="162"/>
    </row>
    <row r="120" spans="3:6" ht="12">
      <c r="C120" s="591" t="s">
        <v>129</v>
      </c>
      <c r="D120" s="592"/>
      <c r="E120" s="592"/>
      <c r="F120" s="162"/>
    </row>
    <row r="121" spans="3:6" ht="12">
      <c r="C121" s="591" t="s">
        <v>130</v>
      </c>
      <c r="D121" s="592"/>
      <c r="E121" s="592"/>
      <c r="F121" s="162"/>
    </row>
    <row r="122" spans="3:6" ht="12">
      <c r="C122" s="591" t="s">
        <v>131</v>
      </c>
      <c r="D122" s="592"/>
      <c r="E122" s="592"/>
      <c r="F122" s="165">
        <f>+U53+V53</f>
        <v>49833613</v>
      </c>
    </row>
    <row r="123" spans="3:6" ht="12">
      <c r="C123" s="597" t="s">
        <v>132</v>
      </c>
      <c r="D123" s="598"/>
      <c r="E123" s="598"/>
      <c r="F123" s="164">
        <f>SUM(F112:F122)</f>
        <v>352785109.61543584</v>
      </c>
    </row>
    <row r="124" spans="3:6" ht="12">
      <c r="C124" s="159"/>
      <c r="D124" s="160"/>
      <c r="E124" s="160"/>
      <c r="F124" s="166"/>
    </row>
    <row r="125" spans="3:6" ht="12">
      <c r="C125" s="597" t="s">
        <v>133</v>
      </c>
      <c r="D125" s="598"/>
      <c r="E125" s="598"/>
      <c r="F125" s="164">
        <f>+F97-F111-F123</f>
        <v>664254778.41486573</v>
      </c>
    </row>
    <row r="126" spans="3:6" ht="12">
      <c r="C126" s="167"/>
      <c r="D126" s="160"/>
      <c r="E126" s="160"/>
      <c r="F126" s="168"/>
    </row>
    <row r="127" spans="3:6" ht="12">
      <c r="C127" s="169" t="s">
        <v>134</v>
      </c>
      <c r="D127" s="160"/>
      <c r="E127" s="160"/>
      <c r="F127" s="162"/>
    </row>
    <row r="128" spans="3:6" ht="12">
      <c r="C128" s="167"/>
      <c r="D128" s="160"/>
      <c r="E128" s="160"/>
      <c r="F128" s="161"/>
    </row>
    <row r="129" spans="3:6" ht="12">
      <c r="C129" s="597" t="s">
        <v>135</v>
      </c>
      <c r="D129" s="598"/>
      <c r="E129" s="598"/>
      <c r="F129" s="164">
        <f>+F125</f>
        <v>664254778.41486573</v>
      </c>
    </row>
    <row r="130" spans="3:6" ht="12">
      <c r="C130" s="167"/>
      <c r="D130" s="160"/>
      <c r="E130" s="160"/>
      <c r="F130" s="168"/>
    </row>
    <row r="131" spans="3:6" ht="12">
      <c r="C131" s="169" t="s">
        <v>136</v>
      </c>
      <c r="D131" s="160"/>
      <c r="E131" s="160"/>
      <c r="F131" s="162"/>
    </row>
    <row r="132" spans="3:6" ht="12">
      <c r="C132" s="167"/>
      <c r="D132" s="160"/>
      <c r="E132" s="160"/>
      <c r="F132" s="161"/>
    </row>
    <row r="133" spans="3:6" ht="12">
      <c r="C133" s="597" t="s">
        <v>137</v>
      </c>
      <c r="D133" s="598"/>
      <c r="E133" s="598"/>
      <c r="F133" s="164">
        <f>+F129</f>
        <v>664254778.41486573</v>
      </c>
    </row>
    <row r="134" spans="3:6" ht="12">
      <c r="C134" s="161" t="s">
        <v>138</v>
      </c>
      <c r="D134" s="160"/>
      <c r="E134" s="160"/>
      <c r="F134" s="170">
        <f>+F133/F97</f>
        <v>0.20658326583686243</v>
      </c>
    </row>
    <row r="135" spans="3:6" ht="12">
      <c r="C135" s="171"/>
      <c r="D135" s="171"/>
      <c r="E135" s="171"/>
      <c r="F135" s="171"/>
    </row>
  </sheetData>
  <mergeCells count="54">
    <mergeCell ref="C125:E125"/>
    <mergeCell ref="C129:E129"/>
    <mergeCell ref="C133:E133"/>
    <mergeCell ref="C118:E118"/>
    <mergeCell ref="C119:E119"/>
    <mergeCell ref="C120:E120"/>
    <mergeCell ref="C121:E121"/>
    <mergeCell ref="C122:E122"/>
    <mergeCell ref="C123:E123"/>
    <mergeCell ref="C117:E117"/>
    <mergeCell ref="C106:E106"/>
    <mergeCell ref="C107:E107"/>
    <mergeCell ref="C108:E108"/>
    <mergeCell ref="C109:E109"/>
    <mergeCell ref="C110:E110"/>
    <mergeCell ref="C111:E111"/>
    <mergeCell ref="C112:E112"/>
    <mergeCell ref="C113:E113"/>
    <mergeCell ref="C114:E114"/>
    <mergeCell ref="C115:E115"/>
    <mergeCell ref="C116:E116"/>
    <mergeCell ref="C105:E105"/>
    <mergeCell ref="B59:D59"/>
    <mergeCell ref="B60:C60"/>
    <mergeCell ref="C88:E88"/>
    <mergeCell ref="C97:E97"/>
    <mergeCell ref="C98:E98"/>
    <mergeCell ref="C99:E99"/>
    <mergeCell ref="C100:E100"/>
    <mergeCell ref="C101:E101"/>
    <mergeCell ref="C102:E102"/>
    <mergeCell ref="C103:E103"/>
    <mergeCell ref="C104:E104"/>
    <mergeCell ref="AI9:AI10"/>
    <mergeCell ref="A12:A51"/>
    <mergeCell ref="B12:B51"/>
    <mergeCell ref="D12:F12"/>
    <mergeCell ref="C32:C41"/>
    <mergeCell ref="D32:H32"/>
    <mergeCell ref="C43:C51"/>
    <mergeCell ref="D43:G43"/>
    <mergeCell ref="AG8:AG10"/>
    <mergeCell ref="AH8:AH10"/>
    <mergeCell ref="AA9:AB9"/>
    <mergeCell ref="AC9:AC10"/>
    <mergeCell ref="AD9:AD10"/>
    <mergeCell ref="AE9:AE10"/>
    <mergeCell ref="AF9:AF10"/>
    <mergeCell ref="E8:L8"/>
    <mergeCell ref="M8:M9"/>
    <mergeCell ref="N8:R8"/>
    <mergeCell ref="T8:Y8"/>
    <mergeCell ref="Z8:AB8"/>
    <mergeCell ref="AC8:AF8"/>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4AEFFD-42A7-4B44-89F3-9AB8ECB62BB1}">
  <dimension ref="A1:AS131"/>
  <sheetViews>
    <sheetView tabSelected="1" topLeftCell="A95" workbookViewId="0">
      <selection activeCell="L31" sqref="L31"/>
    </sheetView>
  </sheetViews>
  <sheetFormatPr defaultColWidth="9.140625" defaultRowHeight="11.25"/>
  <cols>
    <col min="1" max="1" width="14.5703125" style="265" customWidth="1"/>
    <col min="2" max="2" width="20.85546875" style="265" customWidth="1"/>
    <col min="3" max="3" width="17.5703125" style="265" customWidth="1"/>
    <col min="4" max="4" width="12.42578125" style="265" customWidth="1"/>
    <col min="5" max="5" width="12.85546875" style="265" hidden="1" customWidth="1"/>
    <col min="6" max="6" width="11.42578125" style="265" hidden="1" customWidth="1"/>
    <col min="7" max="7" width="13.28515625" style="265" hidden="1" customWidth="1"/>
    <col min="8" max="8" width="15.28515625" style="265" customWidth="1"/>
    <col min="9" max="9" width="13.85546875" style="271" customWidth="1"/>
    <col min="10" max="10" width="25.5703125" style="271" customWidth="1"/>
    <col min="11" max="11" width="13.85546875" style="271" customWidth="1"/>
    <col min="12" max="12" width="18" style="271" bestFit="1" customWidth="1"/>
    <col min="13" max="13" width="13.85546875" style="271" customWidth="1"/>
    <col min="14" max="14" width="26.42578125" style="275" customWidth="1"/>
    <col min="15" max="15" width="8" style="265" customWidth="1"/>
    <col min="16" max="17" width="9.42578125" style="265" customWidth="1"/>
    <col min="18" max="18" width="8.85546875" style="265" customWidth="1"/>
    <col min="19" max="20" width="9.140625" style="265"/>
    <col min="21" max="21" width="11.42578125" style="265" bestFit="1" customWidth="1"/>
    <col min="22" max="39" width="9.140625" style="265"/>
    <col min="40" max="40" width="12.7109375" style="265" customWidth="1"/>
    <col min="41" max="41" width="9.140625" style="265"/>
    <col min="42" max="42" width="10.85546875" style="265" customWidth="1"/>
    <col min="43" max="44" width="9.140625" style="265"/>
    <col min="45" max="45" width="11" style="265" customWidth="1"/>
    <col min="46" max="16384" width="9.140625" style="265"/>
  </cols>
  <sheetData>
    <row r="1" spans="1:45" ht="20.25">
      <c r="A1" s="275" t="s">
        <v>386</v>
      </c>
    </row>
    <row r="2" spans="1:45">
      <c r="A2" s="265" t="s">
        <v>387</v>
      </c>
    </row>
    <row r="3" spans="1:45" ht="20.25">
      <c r="A3" s="275" t="s">
        <v>388</v>
      </c>
    </row>
    <row r="4" spans="1:45" ht="11.25" customHeight="1">
      <c r="A4" s="871" t="s">
        <v>389</v>
      </c>
      <c r="B4" s="849" t="s">
        <v>150</v>
      </c>
      <c r="C4" s="849" t="s">
        <v>390</v>
      </c>
      <c r="D4" s="825" t="s">
        <v>153</v>
      </c>
      <c r="E4" s="825" t="s">
        <v>154</v>
      </c>
      <c r="F4" s="825" t="s">
        <v>156</v>
      </c>
      <c r="G4" s="825" t="s">
        <v>93</v>
      </c>
      <c r="H4" s="825" t="s">
        <v>155</v>
      </c>
      <c r="I4" s="826" t="s">
        <v>391</v>
      </c>
      <c r="J4" s="827" t="s">
        <v>392</v>
      </c>
      <c r="K4" s="821" t="s">
        <v>393</v>
      </c>
      <c r="L4" s="822" t="s">
        <v>394</v>
      </c>
      <c r="M4" s="822" t="s">
        <v>395</v>
      </c>
      <c r="N4" s="822" t="s">
        <v>503</v>
      </c>
      <c r="O4" s="868" t="s">
        <v>396</v>
      </c>
      <c r="P4" s="869"/>
      <c r="Q4" s="869"/>
      <c r="R4" s="870"/>
      <c r="S4" s="831" t="s">
        <v>397</v>
      </c>
      <c r="T4" s="832"/>
      <c r="U4" s="833"/>
      <c r="V4" s="837" t="s">
        <v>398</v>
      </c>
      <c r="W4" s="838"/>
      <c r="X4" s="839"/>
      <c r="Y4" s="840" t="s">
        <v>399</v>
      </c>
      <c r="Z4" s="841"/>
      <c r="AA4" s="842"/>
      <c r="AB4" s="843" t="s">
        <v>400</v>
      </c>
      <c r="AC4" s="844"/>
      <c r="AD4" s="845"/>
      <c r="AE4" s="846" t="s">
        <v>401</v>
      </c>
      <c r="AF4" s="847"/>
      <c r="AG4" s="848"/>
      <c r="AH4" s="828" t="s">
        <v>402</v>
      </c>
      <c r="AI4" s="829"/>
      <c r="AJ4" s="830"/>
      <c r="AK4" s="831" t="s">
        <v>403</v>
      </c>
      <c r="AL4" s="832"/>
      <c r="AM4" s="833"/>
      <c r="AN4" s="834" t="s">
        <v>404</v>
      </c>
      <c r="AO4" s="835"/>
      <c r="AP4" s="825" t="s">
        <v>260</v>
      </c>
      <c r="AQ4" s="825"/>
      <c r="AR4" s="836" t="s">
        <v>405</v>
      </c>
      <c r="AS4" s="836"/>
    </row>
    <row r="5" spans="1:45" ht="30">
      <c r="A5" s="872"/>
      <c r="B5" s="849"/>
      <c r="C5" s="849"/>
      <c r="D5" s="825"/>
      <c r="E5" s="825"/>
      <c r="F5" s="825"/>
      <c r="G5" s="825"/>
      <c r="H5" s="825"/>
      <c r="I5" s="826"/>
      <c r="J5" s="827"/>
      <c r="K5" s="821"/>
      <c r="L5" s="822"/>
      <c r="M5" s="822"/>
      <c r="N5" s="822"/>
      <c r="O5" s="432" t="s">
        <v>504</v>
      </c>
      <c r="P5" s="432" t="s">
        <v>406</v>
      </c>
      <c r="Q5" s="378" t="s">
        <v>407</v>
      </c>
      <c r="R5" s="378" t="s">
        <v>408</v>
      </c>
      <c r="S5" s="379" t="s">
        <v>406</v>
      </c>
      <c r="T5" s="379" t="s">
        <v>407</v>
      </c>
      <c r="U5" s="379" t="s">
        <v>408</v>
      </c>
      <c r="V5" s="380" t="s">
        <v>406</v>
      </c>
      <c r="W5" s="380" t="s">
        <v>407</v>
      </c>
      <c r="X5" s="380" t="s">
        <v>408</v>
      </c>
      <c r="Y5" s="381" t="s">
        <v>406</v>
      </c>
      <c r="Z5" s="381" t="s">
        <v>407</v>
      </c>
      <c r="AA5" s="381" t="s">
        <v>408</v>
      </c>
      <c r="AB5" s="382" t="s">
        <v>406</v>
      </c>
      <c r="AC5" s="382" t="s">
        <v>407</v>
      </c>
      <c r="AD5" s="382" t="s">
        <v>408</v>
      </c>
      <c r="AE5" s="264" t="s">
        <v>406</v>
      </c>
      <c r="AF5" s="264" t="s">
        <v>407</v>
      </c>
      <c r="AG5" s="264" t="s">
        <v>408</v>
      </c>
      <c r="AH5" s="383" t="s">
        <v>406</v>
      </c>
      <c r="AI5" s="383" t="s">
        <v>407</v>
      </c>
      <c r="AJ5" s="383" t="s">
        <v>408</v>
      </c>
      <c r="AK5" s="379" t="s">
        <v>406</v>
      </c>
      <c r="AL5" s="379" t="s">
        <v>407</v>
      </c>
      <c r="AM5" s="379" t="s">
        <v>408</v>
      </c>
      <c r="AN5" s="384" t="s">
        <v>409</v>
      </c>
      <c r="AO5" s="430" t="s">
        <v>410</v>
      </c>
      <c r="AP5" s="429" t="s">
        <v>411</v>
      </c>
      <c r="AQ5" s="429" t="s">
        <v>412</v>
      </c>
      <c r="AR5" s="428" t="s">
        <v>413</v>
      </c>
      <c r="AS5" s="428" t="s">
        <v>414</v>
      </c>
    </row>
    <row r="6" spans="1:45">
      <c r="A6" s="666" t="s">
        <v>161</v>
      </c>
      <c r="B6" s="797" t="s">
        <v>162</v>
      </c>
      <c r="C6" s="819" t="s">
        <v>162</v>
      </c>
      <c r="D6" s="817">
        <v>1310</v>
      </c>
      <c r="E6" s="817">
        <v>10</v>
      </c>
      <c r="F6" s="816">
        <v>175634</v>
      </c>
      <c r="G6" s="816">
        <f>F6*D6</f>
        <v>230080540</v>
      </c>
      <c r="H6" s="817">
        <v>131</v>
      </c>
      <c r="I6" s="375">
        <v>1</v>
      </c>
      <c r="J6" s="433" t="s">
        <v>505</v>
      </c>
      <c r="K6" s="375">
        <v>1018425430</v>
      </c>
      <c r="L6" s="277" t="s">
        <v>506</v>
      </c>
      <c r="M6" s="434">
        <v>45756</v>
      </c>
      <c r="N6" s="555" t="s">
        <v>507</v>
      </c>
      <c r="O6" s="435"/>
      <c r="P6" s="266"/>
      <c r="Q6" s="386"/>
      <c r="R6" s="387">
        <f>P6*Q6</f>
        <v>0</v>
      </c>
      <c r="S6" s="266"/>
      <c r="T6" s="386"/>
      <c r="U6" s="387">
        <f>S6*T6</f>
        <v>0</v>
      </c>
      <c r="V6" s="266"/>
      <c r="W6" s="386"/>
      <c r="X6" s="387">
        <f>V6*W6</f>
        <v>0</v>
      </c>
      <c r="Y6" s="266"/>
      <c r="Z6" s="386"/>
      <c r="AA6" s="387">
        <f>Y6*Z6</f>
        <v>0</v>
      </c>
      <c r="AB6" s="266"/>
      <c r="AC6" s="386"/>
      <c r="AD6" s="387">
        <f>AB6*AC6</f>
        <v>0</v>
      </c>
      <c r="AE6" s="266"/>
      <c r="AF6" s="386"/>
      <c r="AG6" s="387">
        <f>AE6*AF6</f>
        <v>0</v>
      </c>
      <c r="AH6" s="266"/>
      <c r="AI6" s="386"/>
      <c r="AJ6" s="387">
        <f>AH6*AI6</f>
        <v>0</v>
      </c>
      <c r="AK6" s="266"/>
      <c r="AL6" s="386"/>
      <c r="AM6" s="387">
        <f>AK6*AL6</f>
        <v>0</v>
      </c>
      <c r="AN6" s="388">
        <f>AK6+AH6+AE6+AB6+Y6+V6+S6+P6</f>
        <v>0</v>
      </c>
      <c r="AO6" s="387">
        <f>AM6+AJ6+AG6+AD6+AA6+X6+U6+R6</f>
        <v>0</v>
      </c>
      <c r="AP6" s="810">
        <f>SUM(AN6:AN28)</f>
        <v>0</v>
      </c>
      <c r="AQ6" s="805">
        <f>SUM(AO6:AO28)</f>
        <v>0</v>
      </c>
      <c r="AR6" s="810">
        <f>AP6-D6</f>
        <v>-1310</v>
      </c>
      <c r="AS6" s="805">
        <f>AQ6-G6</f>
        <v>-230080540</v>
      </c>
    </row>
    <row r="7" spans="1:45">
      <c r="A7" s="797"/>
      <c r="B7" s="797"/>
      <c r="C7" s="819"/>
      <c r="D7" s="817"/>
      <c r="E7" s="817"/>
      <c r="F7" s="816"/>
      <c r="G7" s="816"/>
      <c r="H7" s="817"/>
      <c r="I7" s="268">
        <v>2</v>
      </c>
      <c r="J7" s="273" t="s">
        <v>415</v>
      </c>
      <c r="K7" s="268">
        <v>1010219918</v>
      </c>
      <c r="L7" s="266" t="s">
        <v>416</v>
      </c>
      <c r="M7" s="267"/>
      <c r="N7" s="389" t="s">
        <v>508</v>
      </c>
      <c r="O7" s="385"/>
      <c r="P7" s="266"/>
      <c r="Q7" s="386"/>
      <c r="R7" s="387">
        <f>P7*Q7</f>
        <v>0</v>
      </c>
      <c r="S7" s="266"/>
      <c r="T7" s="386"/>
      <c r="U7" s="387">
        <f>S7*T7</f>
        <v>0</v>
      </c>
      <c r="V7" s="266"/>
      <c r="W7" s="386"/>
      <c r="X7" s="387">
        <f>V7*W7</f>
        <v>0</v>
      </c>
      <c r="Y7" s="266"/>
      <c r="Z7" s="386"/>
      <c r="AA7" s="387">
        <f>Y7*Z7</f>
        <v>0</v>
      </c>
      <c r="AB7" s="266"/>
      <c r="AC7" s="386"/>
      <c r="AD7" s="387">
        <f>AB7*AC7</f>
        <v>0</v>
      </c>
      <c r="AE7" s="266"/>
      <c r="AF7" s="386"/>
      <c r="AG7" s="387">
        <f>AE7*AF7</f>
        <v>0</v>
      </c>
      <c r="AH7" s="266"/>
      <c r="AI7" s="386"/>
      <c r="AJ7" s="387">
        <f>AH7*AI7</f>
        <v>0</v>
      </c>
      <c r="AK7" s="266"/>
      <c r="AL7" s="386"/>
      <c r="AM7" s="387">
        <f>AK7*AL7</f>
        <v>0</v>
      </c>
      <c r="AN7" s="388">
        <f t="shared" ref="AN7:AN83" si="0">AK7+AH7+AE7+AB7+Y7+V7+S7+P7</f>
        <v>0</v>
      </c>
      <c r="AO7" s="387">
        <f t="shared" ref="AO7:AO83" si="1">AM7+AJ7+AG7+AD7+AA7+X7+U7+R7</f>
        <v>0</v>
      </c>
      <c r="AP7" s="810"/>
      <c r="AQ7" s="805"/>
      <c r="AR7" s="810"/>
      <c r="AS7" s="805"/>
    </row>
    <row r="8" spans="1:45">
      <c r="A8" s="797"/>
      <c r="B8" s="797"/>
      <c r="C8" s="819"/>
      <c r="D8" s="817"/>
      <c r="E8" s="817"/>
      <c r="F8" s="816"/>
      <c r="G8" s="816"/>
      <c r="H8" s="817"/>
      <c r="I8" s="268">
        <v>3</v>
      </c>
      <c r="J8" s="273" t="s">
        <v>417</v>
      </c>
      <c r="K8" s="268">
        <v>79620054</v>
      </c>
      <c r="L8" s="266" t="s">
        <v>418</v>
      </c>
      <c r="M8" s="267"/>
      <c r="N8" s="389" t="s">
        <v>509</v>
      </c>
      <c r="O8" s="385"/>
      <c r="P8" s="266"/>
      <c r="Q8" s="386"/>
      <c r="R8" s="387">
        <f t="shared" ref="R8:R83" si="2">P8*Q8</f>
        <v>0</v>
      </c>
      <c r="S8" s="266"/>
      <c r="T8" s="386"/>
      <c r="U8" s="387">
        <f t="shared" ref="U8:U84" si="3">S8*T8</f>
        <v>0</v>
      </c>
      <c r="V8" s="266"/>
      <c r="W8" s="386"/>
      <c r="X8" s="387">
        <f t="shared" ref="X8:X84" si="4">V8*W8</f>
        <v>0</v>
      </c>
      <c r="Y8" s="266"/>
      <c r="Z8" s="386"/>
      <c r="AA8" s="387">
        <f t="shared" ref="AA8:AA84" si="5">Y8*Z8</f>
        <v>0</v>
      </c>
      <c r="AB8" s="266"/>
      <c r="AC8" s="386"/>
      <c r="AD8" s="387">
        <f t="shared" ref="AD8:AD84" si="6">AB8*AC8</f>
        <v>0</v>
      </c>
      <c r="AE8" s="266"/>
      <c r="AF8" s="386"/>
      <c r="AG8" s="387">
        <f t="shared" ref="AG8:AG84" si="7">AE8*AF8</f>
        <v>0</v>
      </c>
      <c r="AH8" s="266"/>
      <c r="AI8" s="386"/>
      <c r="AJ8" s="387">
        <f t="shared" ref="AJ8:AJ84" si="8">AH8*AI8</f>
        <v>0</v>
      </c>
      <c r="AK8" s="266"/>
      <c r="AL8" s="386"/>
      <c r="AM8" s="387">
        <f t="shared" ref="AM8:AM84" si="9">AK8*AL8</f>
        <v>0</v>
      </c>
      <c r="AN8" s="388">
        <f t="shared" si="0"/>
        <v>0</v>
      </c>
      <c r="AO8" s="387">
        <f t="shared" si="1"/>
        <v>0</v>
      </c>
      <c r="AP8" s="810"/>
      <c r="AQ8" s="805"/>
      <c r="AR8" s="810"/>
      <c r="AS8" s="805"/>
    </row>
    <row r="9" spans="1:45" ht="20.25">
      <c r="A9" s="797"/>
      <c r="B9" s="797"/>
      <c r="C9" s="819"/>
      <c r="D9" s="817"/>
      <c r="E9" s="817"/>
      <c r="F9" s="816"/>
      <c r="G9" s="816"/>
      <c r="H9" s="817"/>
      <c r="I9" s="268">
        <v>4</v>
      </c>
      <c r="J9" s="273" t="s">
        <v>419</v>
      </c>
      <c r="K9" s="268">
        <v>79054904</v>
      </c>
      <c r="L9" s="266" t="s">
        <v>420</v>
      </c>
      <c r="M9" s="267"/>
      <c r="N9" s="389" t="s">
        <v>510</v>
      </c>
      <c r="O9" s="385"/>
      <c r="P9" s="266"/>
      <c r="Q9" s="386"/>
      <c r="R9" s="387">
        <f t="shared" si="2"/>
        <v>0</v>
      </c>
      <c r="S9" s="266"/>
      <c r="T9" s="386"/>
      <c r="U9" s="387">
        <f t="shared" si="3"/>
        <v>0</v>
      </c>
      <c r="V9" s="266"/>
      <c r="W9" s="386"/>
      <c r="X9" s="387">
        <f t="shared" si="4"/>
        <v>0</v>
      </c>
      <c r="Y9" s="266"/>
      <c r="Z9" s="386"/>
      <c r="AA9" s="387">
        <f t="shared" si="5"/>
        <v>0</v>
      </c>
      <c r="AB9" s="266"/>
      <c r="AC9" s="386"/>
      <c r="AD9" s="387">
        <f t="shared" si="6"/>
        <v>0</v>
      </c>
      <c r="AE9" s="266"/>
      <c r="AF9" s="386"/>
      <c r="AG9" s="387">
        <f t="shared" si="7"/>
        <v>0</v>
      </c>
      <c r="AH9" s="266"/>
      <c r="AI9" s="386"/>
      <c r="AJ9" s="387">
        <f t="shared" si="8"/>
        <v>0</v>
      </c>
      <c r="AK9" s="266"/>
      <c r="AL9" s="386"/>
      <c r="AM9" s="387">
        <f t="shared" si="9"/>
        <v>0</v>
      </c>
      <c r="AN9" s="388">
        <f t="shared" si="0"/>
        <v>0</v>
      </c>
      <c r="AO9" s="387">
        <f t="shared" si="1"/>
        <v>0</v>
      </c>
      <c r="AP9" s="810"/>
      <c r="AQ9" s="805"/>
      <c r="AR9" s="810"/>
      <c r="AS9" s="805"/>
    </row>
    <row r="10" spans="1:45">
      <c r="A10" s="797"/>
      <c r="B10" s="797"/>
      <c r="C10" s="819"/>
      <c r="D10" s="817"/>
      <c r="E10" s="817"/>
      <c r="F10" s="816"/>
      <c r="G10" s="816"/>
      <c r="H10" s="817"/>
      <c r="I10" s="268">
        <v>5</v>
      </c>
      <c r="J10" s="273" t="s">
        <v>421</v>
      </c>
      <c r="K10" s="268">
        <v>1019022692</v>
      </c>
      <c r="L10" s="266" t="s">
        <v>422</v>
      </c>
      <c r="M10" s="267"/>
      <c r="N10" s="389" t="s">
        <v>511</v>
      </c>
      <c r="O10" s="385"/>
      <c r="P10" s="266"/>
      <c r="Q10" s="386"/>
      <c r="R10" s="387">
        <f t="shared" si="2"/>
        <v>0</v>
      </c>
      <c r="S10" s="266"/>
      <c r="T10" s="386"/>
      <c r="U10" s="387">
        <f t="shared" si="3"/>
        <v>0</v>
      </c>
      <c r="V10" s="266"/>
      <c r="W10" s="386"/>
      <c r="X10" s="387">
        <f t="shared" si="4"/>
        <v>0</v>
      </c>
      <c r="Y10" s="266"/>
      <c r="Z10" s="386"/>
      <c r="AA10" s="387">
        <f t="shared" si="5"/>
        <v>0</v>
      </c>
      <c r="AB10" s="266"/>
      <c r="AC10" s="386"/>
      <c r="AD10" s="387">
        <f t="shared" si="6"/>
        <v>0</v>
      </c>
      <c r="AE10" s="266"/>
      <c r="AF10" s="386"/>
      <c r="AG10" s="387">
        <f t="shared" si="7"/>
        <v>0</v>
      </c>
      <c r="AH10" s="266"/>
      <c r="AI10" s="386"/>
      <c r="AJ10" s="387">
        <f t="shared" si="8"/>
        <v>0</v>
      </c>
      <c r="AK10" s="266"/>
      <c r="AL10" s="386"/>
      <c r="AM10" s="387">
        <f t="shared" si="9"/>
        <v>0</v>
      </c>
      <c r="AN10" s="388">
        <f t="shared" si="0"/>
        <v>0</v>
      </c>
      <c r="AO10" s="387">
        <f t="shared" si="1"/>
        <v>0</v>
      </c>
      <c r="AP10" s="810"/>
      <c r="AQ10" s="805"/>
      <c r="AR10" s="810"/>
      <c r="AS10" s="805"/>
    </row>
    <row r="11" spans="1:45">
      <c r="A11" s="797"/>
      <c r="B11" s="797"/>
      <c r="C11" s="819"/>
      <c r="D11" s="817"/>
      <c r="E11" s="817"/>
      <c r="F11" s="816"/>
      <c r="G11" s="816"/>
      <c r="H11" s="817"/>
      <c r="I11" s="268">
        <v>6</v>
      </c>
      <c r="J11" s="273" t="s">
        <v>423</v>
      </c>
      <c r="K11" s="268">
        <v>53118186</v>
      </c>
      <c r="L11" s="266" t="s">
        <v>424</v>
      </c>
      <c r="M11" s="267"/>
      <c r="N11" s="389" t="s">
        <v>508</v>
      </c>
      <c r="O11" s="385"/>
      <c r="P11" s="266"/>
      <c r="Q11" s="386"/>
      <c r="R11" s="387">
        <f t="shared" si="2"/>
        <v>0</v>
      </c>
      <c r="S11" s="387"/>
      <c r="T11" s="386"/>
      <c r="U11" s="387">
        <f t="shared" si="3"/>
        <v>0</v>
      </c>
      <c r="V11" s="266"/>
      <c r="W11" s="386"/>
      <c r="X11" s="387">
        <f t="shared" si="4"/>
        <v>0</v>
      </c>
      <c r="Y11" s="266"/>
      <c r="Z11" s="386"/>
      <c r="AA11" s="387">
        <f t="shared" si="5"/>
        <v>0</v>
      </c>
      <c r="AB11" s="266"/>
      <c r="AC11" s="386"/>
      <c r="AD11" s="387">
        <f t="shared" si="6"/>
        <v>0</v>
      </c>
      <c r="AE11" s="266"/>
      <c r="AF11" s="386"/>
      <c r="AG11" s="387">
        <f t="shared" si="7"/>
        <v>0</v>
      </c>
      <c r="AH11" s="266"/>
      <c r="AI11" s="386"/>
      <c r="AJ11" s="387">
        <f t="shared" si="8"/>
        <v>0</v>
      </c>
      <c r="AK11" s="266"/>
      <c r="AL11" s="386"/>
      <c r="AM11" s="387">
        <f t="shared" si="9"/>
        <v>0</v>
      </c>
      <c r="AN11" s="388">
        <f t="shared" si="0"/>
        <v>0</v>
      </c>
      <c r="AO11" s="387">
        <f t="shared" si="1"/>
        <v>0</v>
      </c>
      <c r="AP11" s="810"/>
      <c r="AQ11" s="805"/>
      <c r="AR11" s="810"/>
      <c r="AS11" s="805"/>
    </row>
    <row r="12" spans="1:45">
      <c r="A12" s="797"/>
      <c r="B12" s="797"/>
      <c r="C12" s="819"/>
      <c r="D12" s="817"/>
      <c r="E12" s="817"/>
      <c r="F12" s="816"/>
      <c r="G12" s="816"/>
      <c r="H12" s="817"/>
      <c r="I12" s="268">
        <v>7</v>
      </c>
      <c r="J12" s="273" t="s">
        <v>512</v>
      </c>
      <c r="K12" s="268">
        <v>80076111</v>
      </c>
      <c r="L12" s="266" t="s">
        <v>513</v>
      </c>
      <c r="M12" s="267"/>
      <c r="N12" s="389" t="s">
        <v>508</v>
      </c>
      <c r="O12" s="385"/>
      <c r="P12" s="266"/>
      <c r="Q12" s="386"/>
      <c r="R12" s="387">
        <f t="shared" si="2"/>
        <v>0</v>
      </c>
      <c r="S12" s="387"/>
      <c r="T12" s="386"/>
      <c r="U12" s="387">
        <f t="shared" si="3"/>
        <v>0</v>
      </c>
      <c r="V12" s="266"/>
      <c r="W12" s="386"/>
      <c r="X12" s="387">
        <f t="shared" si="4"/>
        <v>0</v>
      </c>
      <c r="Y12" s="266"/>
      <c r="Z12" s="386"/>
      <c r="AA12" s="387">
        <f t="shared" si="5"/>
        <v>0</v>
      </c>
      <c r="AB12" s="266"/>
      <c r="AC12" s="386"/>
      <c r="AD12" s="387">
        <f t="shared" si="6"/>
        <v>0</v>
      </c>
      <c r="AE12" s="266"/>
      <c r="AF12" s="386"/>
      <c r="AG12" s="387">
        <f t="shared" si="7"/>
        <v>0</v>
      </c>
      <c r="AH12" s="266"/>
      <c r="AI12" s="386"/>
      <c r="AJ12" s="387">
        <f t="shared" si="8"/>
        <v>0</v>
      </c>
      <c r="AK12" s="266"/>
      <c r="AL12" s="386"/>
      <c r="AM12" s="387">
        <f t="shared" si="9"/>
        <v>0</v>
      </c>
      <c r="AN12" s="388">
        <f t="shared" si="0"/>
        <v>0</v>
      </c>
      <c r="AO12" s="387">
        <f t="shared" si="1"/>
        <v>0</v>
      </c>
      <c r="AP12" s="810"/>
      <c r="AQ12" s="805"/>
      <c r="AR12" s="810"/>
      <c r="AS12" s="805"/>
    </row>
    <row r="13" spans="1:45">
      <c r="A13" s="797"/>
      <c r="B13" s="797"/>
      <c r="C13" s="819"/>
      <c r="D13" s="817"/>
      <c r="E13" s="817"/>
      <c r="F13" s="816"/>
      <c r="G13" s="816"/>
      <c r="H13" s="817"/>
      <c r="I13" s="268">
        <v>8</v>
      </c>
      <c r="J13" s="273" t="s">
        <v>425</v>
      </c>
      <c r="K13" s="268">
        <v>11185081</v>
      </c>
      <c r="L13" s="266" t="s">
        <v>426</v>
      </c>
      <c r="M13" s="267"/>
      <c r="N13" s="389" t="s">
        <v>508</v>
      </c>
      <c r="O13" s="385"/>
      <c r="P13" s="266"/>
      <c r="Q13" s="386"/>
      <c r="R13" s="387">
        <f t="shared" si="2"/>
        <v>0</v>
      </c>
      <c r="S13" s="387"/>
      <c r="T13" s="386"/>
      <c r="U13" s="387">
        <f t="shared" si="3"/>
        <v>0</v>
      </c>
      <c r="V13" s="266"/>
      <c r="W13" s="386"/>
      <c r="X13" s="387">
        <f t="shared" si="4"/>
        <v>0</v>
      </c>
      <c r="Y13" s="266"/>
      <c r="Z13" s="386"/>
      <c r="AA13" s="387">
        <f t="shared" si="5"/>
        <v>0</v>
      </c>
      <c r="AB13" s="266"/>
      <c r="AC13" s="386"/>
      <c r="AD13" s="387">
        <f t="shared" si="6"/>
        <v>0</v>
      </c>
      <c r="AE13" s="266"/>
      <c r="AF13" s="386"/>
      <c r="AG13" s="387">
        <f t="shared" si="7"/>
        <v>0</v>
      </c>
      <c r="AH13" s="266"/>
      <c r="AI13" s="386"/>
      <c r="AJ13" s="387">
        <f t="shared" si="8"/>
        <v>0</v>
      </c>
      <c r="AK13" s="266"/>
      <c r="AL13" s="386"/>
      <c r="AM13" s="387">
        <f t="shared" si="9"/>
        <v>0</v>
      </c>
      <c r="AN13" s="388">
        <f t="shared" si="0"/>
        <v>0</v>
      </c>
      <c r="AO13" s="387">
        <f t="shared" si="1"/>
        <v>0</v>
      </c>
      <c r="AP13" s="810"/>
      <c r="AQ13" s="805"/>
      <c r="AR13" s="810"/>
      <c r="AS13" s="805"/>
    </row>
    <row r="14" spans="1:45">
      <c r="A14" s="797"/>
      <c r="B14" s="797"/>
      <c r="C14" s="819"/>
      <c r="D14" s="817"/>
      <c r="E14" s="817"/>
      <c r="F14" s="816"/>
      <c r="G14" s="816"/>
      <c r="H14" s="817"/>
      <c r="I14" s="268">
        <v>9</v>
      </c>
      <c r="J14" s="273" t="s">
        <v>514</v>
      </c>
      <c r="K14" s="268">
        <v>53119208</v>
      </c>
      <c r="L14" s="266" t="s">
        <v>515</v>
      </c>
      <c r="M14" s="267"/>
      <c r="N14" s="389" t="s">
        <v>508</v>
      </c>
      <c r="O14" s="385"/>
      <c r="P14" s="266"/>
      <c r="Q14" s="386"/>
      <c r="R14" s="387">
        <f t="shared" si="2"/>
        <v>0</v>
      </c>
      <c r="S14" s="387"/>
      <c r="T14" s="386"/>
      <c r="U14" s="387">
        <f t="shared" si="3"/>
        <v>0</v>
      </c>
      <c r="V14" s="266"/>
      <c r="W14" s="386"/>
      <c r="X14" s="387">
        <f t="shared" si="4"/>
        <v>0</v>
      </c>
      <c r="Y14" s="266"/>
      <c r="Z14" s="386"/>
      <c r="AA14" s="387">
        <f t="shared" si="5"/>
        <v>0</v>
      </c>
      <c r="AB14" s="266"/>
      <c r="AC14" s="386"/>
      <c r="AD14" s="387">
        <f t="shared" si="6"/>
        <v>0</v>
      </c>
      <c r="AE14" s="266"/>
      <c r="AF14" s="386"/>
      <c r="AG14" s="387">
        <f t="shared" si="7"/>
        <v>0</v>
      </c>
      <c r="AH14" s="266"/>
      <c r="AI14" s="386"/>
      <c r="AJ14" s="387">
        <f t="shared" si="8"/>
        <v>0</v>
      </c>
      <c r="AK14" s="266"/>
      <c r="AL14" s="386"/>
      <c r="AM14" s="387">
        <f t="shared" si="9"/>
        <v>0</v>
      </c>
      <c r="AN14" s="388">
        <f t="shared" si="0"/>
        <v>0</v>
      </c>
      <c r="AO14" s="387">
        <f t="shared" si="1"/>
        <v>0</v>
      </c>
      <c r="AP14" s="810"/>
      <c r="AQ14" s="805"/>
      <c r="AR14" s="810"/>
      <c r="AS14" s="805"/>
    </row>
    <row r="15" spans="1:45">
      <c r="A15" s="797"/>
      <c r="B15" s="797"/>
      <c r="C15" s="819"/>
      <c r="D15" s="817"/>
      <c r="E15" s="817"/>
      <c r="F15" s="816"/>
      <c r="G15" s="816"/>
      <c r="H15" s="817"/>
      <c r="I15" s="268">
        <v>10</v>
      </c>
      <c r="J15" s="273" t="s">
        <v>427</v>
      </c>
      <c r="K15" s="268">
        <v>30392452</v>
      </c>
      <c r="L15" s="266" t="s">
        <v>428</v>
      </c>
      <c r="M15" s="267"/>
      <c r="N15" s="389" t="s">
        <v>508</v>
      </c>
      <c r="O15" s="385"/>
      <c r="P15" s="266"/>
      <c r="Q15" s="386"/>
      <c r="R15" s="387">
        <f t="shared" si="2"/>
        <v>0</v>
      </c>
      <c r="S15" s="387"/>
      <c r="T15" s="386"/>
      <c r="U15" s="387">
        <f t="shared" si="3"/>
        <v>0</v>
      </c>
      <c r="V15" s="266"/>
      <c r="W15" s="386"/>
      <c r="X15" s="387">
        <f t="shared" si="4"/>
        <v>0</v>
      </c>
      <c r="Y15" s="266"/>
      <c r="Z15" s="386"/>
      <c r="AA15" s="387">
        <f t="shared" si="5"/>
        <v>0</v>
      </c>
      <c r="AB15" s="266"/>
      <c r="AC15" s="386"/>
      <c r="AD15" s="387">
        <f t="shared" si="6"/>
        <v>0</v>
      </c>
      <c r="AE15" s="266"/>
      <c r="AF15" s="386"/>
      <c r="AG15" s="387">
        <f t="shared" si="7"/>
        <v>0</v>
      </c>
      <c r="AH15" s="266"/>
      <c r="AI15" s="386"/>
      <c r="AJ15" s="387">
        <f t="shared" si="8"/>
        <v>0</v>
      </c>
      <c r="AK15" s="266"/>
      <c r="AL15" s="386"/>
      <c r="AM15" s="387">
        <f t="shared" si="9"/>
        <v>0</v>
      </c>
      <c r="AN15" s="388">
        <f t="shared" si="0"/>
        <v>0</v>
      </c>
      <c r="AO15" s="387">
        <f t="shared" si="1"/>
        <v>0</v>
      </c>
      <c r="AP15" s="810"/>
      <c r="AQ15" s="805"/>
      <c r="AR15" s="810"/>
      <c r="AS15" s="805"/>
    </row>
    <row r="16" spans="1:45" ht="20.25">
      <c r="A16" s="797"/>
      <c r="B16" s="797"/>
      <c r="C16" s="819"/>
      <c r="D16" s="817"/>
      <c r="E16" s="817"/>
      <c r="F16" s="816"/>
      <c r="G16" s="816"/>
      <c r="H16" s="817"/>
      <c r="I16" s="268">
        <v>11</v>
      </c>
      <c r="J16" s="273" t="s">
        <v>429</v>
      </c>
      <c r="K16" s="268">
        <v>1020766226</v>
      </c>
      <c r="L16" s="266" t="s">
        <v>430</v>
      </c>
      <c r="M16" s="267"/>
      <c r="N16" s="389" t="s">
        <v>516</v>
      </c>
      <c r="O16" s="385"/>
      <c r="P16" s="266"/>
      <c r="Q16" s="386"/>
      <c r="R16" s="387">
        <f t="shared" si="2"/>
        <v>0</v>
      </c>
      <c r="S16" s="387"/>
      <c r="T16" s="386"/>
      <c r="U16" s="387">
        <f t="shared" si="3"/>
        <v>0</v>
      </c>
      <c r="V16" s="266"/>
      <c r="W16" s="386"/>
      <c r="X16" s="387">
        <f t="shared" si="4"/>
        <v>0</v>
      </c>
      <c r="Y16" s="266"/>
      <c r="Z16" s="386"/>
      <c r="AA16" s="387">
        <f t="shared" si="5"/>
        <v>0</v>
      </c>
      <c r="AB16" s="266"/>
      <c r="AC16" s="386"/>
      <c r="AD16" s="387">
        <f t="shared" si="6"/>
        <v>0</v>
      </c>
      <c r="AE16" s="266"/>
      <c r="AF16" s="386"/>
      <c r="AG16" s="387">
        <f t="shared" si="7"/>
        <v>0</v>
      </c>
      <c r="AH16" s="266"/>
      <c r="AI16" s="386"/>
      <c r="AJ16" s="387">
        <f t="shared" si="8"/>
        <v>0</v>
      </c>
      <c r="AK16" s="266"/>
      <c r="AL16" s="386"/>
      <c r="AM16" s="387">
        <f t="shared" si="9"/>
        <v>0</v>
      </c>
      <c r="AN16" s="388">
        <f t="shared" si="0"/>
        <v>0</v>
      </c>
      <c r="AO16" s="387">
        <f t="shared" si="1"/>
        <v>0</v>
      </c>
      <c r="AP16" s="810"/>
      <c r="AQ16" s="805"/>
      <c r="AR16" s="810"/>
      <c r="AS16" s="805"/>
    </row>
    <row r="17" spans="1:45">
      <c r="A17" s="797"/>
      <c r="B17" s="797"/>
      <c r="C17" s="819"/>
      <c r="D17" s="817"/>
      <c r="E17" s="817"/>
      <c r="F17" s="816"/>
      <c r="G17" s="816"/>
      <c r="H17" s="817"/>
      <c r="I17" s="268">
        <v>12</v>
      </c>
      <c r="J17" s="273" t="s">
        <v>431</v>
      </c>
      <c r="K17" s="268">
        <v>79386350</v>
      </c>
      <c r="L17" s="266" t="s">
        <v>432</v>
      </c>
      <c r="M17" s="267"/>
      <c r="N17" s="389" t="s">
        <v>508</v>
      </c>
      <c r="O17" s="385"/>
      <c r="P17" s="266"/>
      <c r="Q17" s="386"/>
      <c r="R17" s="387">
        <f t="shared" si="2"/>
        <v>0</v>
      </c>
      <c r="S17" s="387"/>
      <c r="T17" s="386"/>
      <c r="U17" s="387">
        <f t="shared" si="3"/>
        <v>0</v>
      </c>
      <c r="V17" s="266"/>
      <c r="W17" s="386"/>
      <c r="X17" s="387">
        <f t="shared" si="4"/>
        <v>0</v>
      </c>
      <c r="Y17" s="266"/>
      <c r="Z17" s="386"/>
      <c r="AA17" s="387">
        <f t="shared" si="5"/>
        <v>0</v>
      </c>
      <c r="AB17" s="266"/>
      <c r="AC17" s="386"/>
      <c r="AD17" s="387">
        <f t="shared" si="6"/>
        <v>0</v>
      </c>
      <c r="AE17" s="266"/>
      <c r="AF17" s="386"/>
      <c r="AG17" s="387">
        <f t="shared" si="7"/>
        <v>0</v>
      </c>
      <c r="AH17" s="266"/>
      <c r="AI17" s="386"/>
      <c r="AJ17" s="387">
        <f t="shared" si="8"/>
        <v>0</v>
      </c>
      <c r="AK17" s="266"/>
      <c r="AL17" s="386"/>
      <c r="AM17" s="387">
        <f t="shared" si="9"/>
        <v>0</v>
      </c>
      <c r="AN17" s="388">
        <f t="shared" si="0"/>
        <v>0</v>
      </c>
      <c r="AO17" s="387">
        <f t="shared" si="1"/>
        <v>0</v>
      </c>
      <c r="AP17" s="810"/>
      <c r="AQ17" s="805"/>
      <c r="AR17" s="810"/>
      <c r="AS17" s="805"/>
    </row>
    <row r="18" spans="1:45">
      <c r="A18" s="797"/>
      <c r="B18" s="797"/>
      <c r="C18" s="819"/>
      <c r="D18" s="817"/>
      <c r="E18" s="817"/>
      <c r="F18" s="816"/>
      <c r="G18" s="816"/>
      <c r="H18" s="817"/>
      <c r="I18" s="268">
        <v>13</v>
      </c>
      <c r="J18" s="273" t="s">
        <v>433</v>
      </c>
      <c r="K18" s="268">
        <v>52218611</v>
      </c>
      <c r="L18" s="266" t="s">
        <v>434</v>
      </c>
      <c r="M18" s="267"/>
      <c r="N18" s="389" t="s">
        <v>517</v>
      </c>
      <c r="O18" s="385"/>
      <c r="P18" s="266"/>
      <c r="Q18" s="386"/>
      <c r="R18" s="387">
        <f t="shared" si="2"/>
        <v>0</v>
      </c>
      <c r="S18" s="387"/>
      <c r="T18" s="386"/>
      <c r="U18" s="387">
        <f t="shared" si="3"/>
        <v>0</v>
      </c>
      <c r="V18" s="266"/>
      <c r="W18" s="386"/>
      <c r="X18" s="387">
        <f t="shared" si="4"/>
        <v>0</v>
      </c>
      <c r="Y18" s="266"/>
      <c r="Z18" s="386"/>
      <c r="AA18" s="387">
        <f t="shared" si="5"/>
        <v>0</v>
      </c>
      <c r="AB18" s="266"/>
      <c r="AC18" s="386"/>
      <c r="AD18" s="387">
        <f t="shared" si="6"/>
        <v>0</v>
      </c>
      <c r="AE18" s="266"/>
      <c r="AF18" s="386"/>
      <c r="AG18" s="387">
        <f t="shared" si="7"/>
        <v>0</v>
      </c>
      <c r="AH18" s="266"/>
      <c r="AI18" s="386"/>
      <c r="AJ18" s="387">
        <f t="shared" si="8"/>
        <v>0</v>
      </c>
      <c r="AK18" s="266"/>
      <c r="AL18" s="386"/>
      <c r="AM18" s="387">
        <f t="shared" si="9"/>
        <v>0</v>
      </c>
      <c r="AN18" s="388">
        <f t="shared" si="0"/>
        <v>0</v>
      </c>
      <c r="AO18" s="387">
        <f t="shared" si="1"/>
        <v>0</v>
      </c>
      <c r="AP18" s="810"/>
      <c r="AQ18" s="805"/>
      <c r="AR18" s="810"/>
      <c r="AS18" s="805"/>
    </row>
    <row r="19" spans="1:45">
      <c r="A19" s="797"/>
      <c r="B19" s="797"/>
      <c r="C19" s="819"/>
      <c r="D19" s="817"/>
      <c r="E19" s="817"/>
      <c r="F19" s="816"/>
      <c r="G19" s="816"/>
      <c r="H19" s="817"/>
      <c r="I19" s="268">
        <v>14</v>
      </c>
      <c r="J19" s="273" t="s">
        <v>435</v>
      </c>
      <c r="K19" s="268">
        <v>79233327</v>
      </c>
      <c r="L19" s="266" t="s">
        <v>436</v>
      </c>
      <c r="M19" s="267"/>
      <c r="N19" s="389" t="s">
        <v>511</v>
      </c>
      <c r="O19" s="385"/>
      <c r="P19" s="266"/>
      <c r="Q19" s="386"/>
      <c r="R19" s="387">
        <f t="shared" si="2"/>
        <v>0</v>
      </c>
      <c r="S19" s="387"/>
      <c r="T19" s="386"/>
      <c r="U19" s="387">
        <f t="shared" si="3"/>
        <v>0</v>
      </c>
      <c r="V19" s="266"/>
      <c r="W19" s="386"/>
      <c r="X19" s="387">
        <f t="shared" si="4"/>
        <v>0</v>
      </c>
      <c r="Y19" s="266"/>
      <c r="Z19" s="386"/>
      <c r="AA19" s="387">
        <f t="shared" si="5"/>
        <v>0</v>
      </c>
      <c r="AB19" s="266"/>
      <c r="AC19" s="386"/>
      <c r="AD19" s="387">
        <f t="shared" si="6"/>
        <v>0</v>
      </c>
      <c r="AE19" s="266"/>
      <c r="AF19" s="386"/>
      <c r="AG19" s="387">
        <f t="shared" si="7"/>
        <v>0</v>
      </c>
      <c r="AH19" s="266"/>
      <c r="AI19" s="386"/>
      <c r="AJ19" s="387">
        <f t="shared" si="8"/>
        <v>0</v>
      </c>
      <c r="AK19" s="266"/>
      <c r="AL19" s="386"/>
      <c r="AM19" s="387">
        <f t="shared" si="9"/>
        <v>0</v>
      </c>
      <c r="AN19" s="388">
        <f t="shared" si="0"/>
        <v>0</v>
      </c>
      <c r="AO19" s="387">
        <f t="shared" si="1"/>
        <v>0</v>
      </c>
      <c r="AP19" s="810"/>
      <c r="AQ19" s="805"/>
      <c r="AR19" s="810"/>
      <c r="AS19" s="805"/>
    </row>
    <row r="20" spans="1:45">
      <c r="A20" s="797"/>
      <c r="B20" s="797"/>
      <c r="C20" s="819"/>
      <c r="D20" s="817"/>
      <c r="E20" s="817"/>
      <c r="F20" s="816"/>
      <c r="G20" s="816"/>
      <c r="H20" s="817"/>
      <c r="I20" s="268">
        <v>15</v>
      </c>
      <c r="J20" s="273" t="s">
        <v>518</v>
      </c>
      <c r="K20" s="268">
        <v>52340912</v>
      </c>
      <c r="L20" s="266"/>
      <c r="M20" s="267"/>
      <c r="N20" s="389" t="s">
        <v>511</v>
      </c>
      <c r="O20" s="385"/>
      <c r="P20" s="266"/>
      <c r="Q20" s="386"/>
      <c r="R20" s="387">
        <f t="shared" si="2"/>
        <v>0</v>
      </c>
      <c r="S20" s="387"/>
      <c r="T20" s="386"/>
      <c r="U20" s="387">
        <f t="shared" si="3"/>
        <v>0</v>
      </c>
      <c r="V20" s="266"/>
      <c r="W20" s="386"/>
      <c r="X20" s="387">
        <f t="shared" si="4"/>
        <v>0</v>
      </c>
      <c r="Y20" s="266"/>
      <c r="Z20" s="386"/>
      <c r="AA20" s="387">
        <f t="shared" si="5"/>
        <v>0</v>
      </c>
      <c r="AB20" s="266"/>
      <c r="AC20" s="386"/>
      <c r="AD20" s="387">
        <f t="shared" si="6"/>
        <v>0</v>
      </c>
      <c r="AE20" s="266"/>
      <c r="AF20" s="386"/>
      <c r="AG20" s="387">
        <f t="shared" si="7"/>
        <v>0</v>
      </c>
      <c r="AH20" s="266"/>
      <c r="AI20" s="386"/>
      <c r="AJ20" s="387">
        <f t="shared" si="8"/>
        <v>0</v>
      </c>
      <c r="AK20" s="266"/>
      <c r="AL20" s="386"/>
      <c r="AM20" s="387">
        <f t="shared" si="9"/>
        <v>0</v>
      </c>
      <c r="AN20" s="388">
        <f t="shared" si="0"/>
        <v>0</v>
      </c>
      <c r="AO20" s="387">
        <f t="shared" si="1"/>
        <v>0</v>
      </c>
      <c r="AP20" s="810"/>
      <c r="AQ20" s="805"/>
      <c r="AR20" s="810"/>
      <c r="AS20" s="805"/>
    </row>
    <row r="21" spans="1:45">
      <c r="A21" s="797"/>
      <c r="B21" s="797"/>
      <c r="C21" s="819"/>
      <c r="D21" s="817"/>
      <c r="E21" s="817"/>
      <c r="F21" s="816"/>
      <c r="G21" s="816"/>
      <c r="H21" s="817"/>
      <c r="I21" s="268">
        <v>16</v>
      </c>
      <c r="J21" s="273" t="s">
        <v>519</v>
      </c>
      <c r="K21" s="268">
        <v>1014275124</v>
      </c>
      <c r="L21" s="266"/>
      <c r="M21" s="267"/>
      <c r="N21" s="389" t="s">
        <v>520</v>
      </c>
      <c r="O21" s="385"/>
      <c r="P21" s="266"/>
      <c r="Q21" s="386"/>
      <c r="R21" s="387">
        <f t="shared" si="2"/>
        <v>0</v>
      </c>
      <c r="S21" s="387"/>
      <c r="T21" s="386"/>
      <c r="U21" s="387">
        <f t="shared" si="3"/>
        <v>0</v>
      </c>
      <c r="V21" s="266"/>
      <c r="W21" s="386"/>
      <c r="X21" s="387">
        <f t="shared" si="4"/>
        <v>0</v>
      </c>
      <c r="Y21" s="266"/>
      <c r="Z21" s="386"/>
      <c r="AA21" s="387">
        <f t="shared" si="5"/>
        <v>0</v>
      </c>
      <c r="AB21" s="266"/>
      <c r="AC21" s="386"/>
      <c r="AD21" s="387">
        <f t="shared" si="6"/>
        <v>0</v>
      </c>
      <c r="AE21" s="266"/>
      <c r="AF21" s="386"/>
      <c r="AG21" s="387">
        <f t="shared" si="7"/>
        <v>0</v>
      </c>
      <c r="AH21" s="266"/>
      <c r="AI21" s="386"/>
      <c r="AJ21" s="387">
        <f t="shared" si="8"/>
        <v>0</v>
      </c>
      <c r="AK21" s="266"/>
      <c r="AL21" s="386"/>
      <c r="AM21" s="387">
        <f t="shared" si="9"/>
        <v>0</v>
      </c>
      <c r="AN21" s="388">
        <f t="shared" si="0"/>
        <v>0</v>
      </c>
      <c r="AO21" s="387">
        <f t="shared" si="1"/>
        <v>0</v>
      </c>
      <c r="AP21" s="810"/>
      <c r="AQ21" s="805"/>
      <c r="AR21" s="810"/>
      <c r="AS21" s="805"/>
    </row>
    <row r="22" spans="1:45">
      <c r="A22" s="797"/>
      <c r="B22" s="797"/>
      <c r="C22" s="819"/>
      <c r="D22" s="817"/>
      <c r="E22" s="817"/>
      <c r="F22" s="816"/>
      <c r="G22" s="816"/>
      <c r="H22" s="817"/>
      <c r="I22" s="268">
        <v>17</v>
      </c>
      <c r="J22" s="273" t="s">
        <v>437</v>
      </c>
      <c r="K22" s="268">
        <v>39616521</v>
      </c>
      <c r="L22" s="266" t="s">
        <v>438</v>
      </c>
      <c r="M22" s="267"/>
      <c r="N22" s="389" t="s">
        <v>511</v>
      </c>
      <c r="O22" s="385"/>
      <c r="P22" s="266"/>
      <c r="Q22" s="386"/>
      <c r="R22" s="387"/>
      <c r="S22" s="387"/>
      <c r="T22" s="386"/>
      <c r="U22" s="387"/>
      <c r="V22" s="266"/>
      <c r="W22" s="386"/>
      <c r="X22" s="387"/>
      <c r="Y22" s="266"/>
      <c r="Z22" s="386"/>
      <c r="AA22" s="387"/>
      <c r="AB22" s="266"/>
      <c r="AC22" s="386"/>
      <c r="AD22" s="387"/>
      <c r="AE22" s="266"/>
      <c r="AF22" s="386"/>
      <c r="AG22" s="387"/>
      <c r="AH22" s="266"/>
      <c r="AI22" s="386"/>
      <c r="AJ22" s="387"/>
      <c r="AK22" s="266"/>
      <c r="AL22" s="386"/>
      <c r="AM22" s="387"/>
      <c r="AN22" s="388"/>
      <c r="AO22" s="387"/>
      <c r="AP22" s="810"/>
      <c r="AQ22" s="805"/>
      <c r="AR22" s="810"/>
      <c r="AS22" s="805"/>
    </row>
    <row r="23" spans="1:45" ht="20.25">
      <c r="A23" s="797"/>
      <c r="B23" s="797"/>
      <c r="C23" s="819"/>
      <c r="D23" s="817"/>
      <c r="E23" s="817"/>
      <c r="F23" s="816"/>
      <c r="G23" s="816"/>
      <c r="H23" s="817"/>
      <c r="I23" s="268">
        <v>18</v>
      </c>
      <c r="J23" s="273" t="s">
        <v>439</v>
      </c>
      <c r="K23" s="268">
        <v>63350240</v>
      </c>
      <c r="L23" s="266" t="s">
        <v>440</v>
      </c>
      <c r="M23" s="267"/>
      <c r="N23" s="389" t="s">
        <v>521</v>
      </c>
      <c r="O23" s="385"/>
      <c r="P23" s="266"/>
      <c r="Q23" s="386"/>
      <c r="R23" s="387"/>
      <c r="S23" s="387"/>
      <c r="T23" s="386"/>
      <c r="U23" s="387"/>
      <c r="V23" s="266"/>
      <c r="W23" s="386"/>
      <c r="X23" s="387"/>
      <c r="Y23" s="266"/>
      <c r="Z23" s="386"/>
      <c r="AA23" s="387"/>
      <c r="AB23" s="266"/>
      <c r="AC23" s="386"/>
      <c r="AD23" s="387"/>
      <c r="AE23" s="266"/>
      <c r="AF23" s="386"/>
      <c r="AG23" s="387"/>
      <c r="AH23" s="266"/>
      <c r="AI23" s="386"/>
      <c r="AJ23" s="387"/>
      <c r="AK23" s="266"/>
      <c r="AL23" s="386"/>
      <c r="AM23" s="387"/>
      <c r="AN23" s="388"/>
      <c r="AO23" s="387"/>
      <c r="AP23" s="810"/>
      <c r="AQ23" s="805"/>
      <c r="AR23" s="810"/>
      <c r="AS23" s="805"/>
    </row>
    <row r="24" spans="1:45">
      <c r="A24" s="797"/>
      <c r="B24" s="797"/>
      <c r="C24" s="819"/>
      <c r="D24" s="817"/>
      <c r="E24" s="817"/>
      <c r="F24" s="816"/>
      <c r="G24" s="816"/>
      <c r="H24" s="817"/>
      <c r="I24" s="268">
        <v>19</v>
      </c>
      <c r="J24" s="273" t="s">
        <v>441</v>
      </c>
      <c r="K24" s="268">
        <v>79938989</v>
      </c>
      <c r="L24" s="266" t="s">
        <v>442</v>
      </c>
      <c r="M24" s="267"/>
      <c r="N24" s="389" t="s">
        <v>520</v>
      </c>
      <c r="O24" s="385"/>
      <c r="P24" s="266"/>
      <c r="Q24" s="386"/>
      <c r="R24" s="387"/>
      <c r="S24" s="387"/>
      <c r="T24" s="386"/>
      <c r="U24" s="387"/>
      <c r="V24" s="266"/>
      <c r="W24" s="386"/>
      <c r="X24" s="387"/>
      <c r="Y24" s="266"/>
      <c r="Z24" s="386"/>
      <c r="AA24" s="387"/>
      <c r="AB24" s="266"/>
      <c r="AC24" s="386"/>
      <c r="AD24" s="387"/>
      <c r="AE24" s="266"/>
      <c r="AF24" s="386"/>
      <c r="AG24" s="387"/>
      <c r="AH24" s="266"/>
      <c r="AI24" s="386"/>
      <c r="AJ24" s="387"/>
      <c r="AK24" s="266"/>
      <c r="AL24" s="386"/>
      <c r="AM24" s="387"/>
      <c r="AN24" s="388"/>
      <c r="AO24" s="387"/>
      <c r="AP24" s="810"/>
      <c r="AQ24" s="805"/>
      <c r="AR24" s="810"/>
      <c r="AS24" s="805"/>
    </row>
    <row r="25" spans="1:45">
      <c r="A25" s="797"/>
      <c r="B25" s="797"/>
      <c r="C25" s="819"/>
      <c r="D25" s="817"/>
      <c r="E25" s="817"/>
      <c r="F25" s="816"/>
      <c r="G25" s="816"/>
      <c r="H25" s="817"/>
      <c r="I25" s="268">
        <v>20</v>
      </c>
      <c r="J25" s="273" t="s">
        <v>443</v>
      </c>
      <c r="K25" s="268">
        <v>52693691</v>
      </c>
      <c r="L25" s="266" t="s">
        <v>444</v>
      </c>
      <c r="M25" s="267"/>
      <c r="N25" s="389" t="s">
        <v>511</v>
      </c>
      <c r="O25" s="385"/>
      <c r="P25" s="266"/>
      <c r="Q25" s="386"/>
      <c r="R25" s="387"/>
      <c r="S25" s="387"/>
      <c r="T25" s="386"/>
      <c r="U25" s="387"/>
      <c r="V25" s="266"/>
      <c r="W25" s="386"/>
      <c r="X25" s="387"/>
      <c r="Y25" s="266"/>
      <c r="Z25" s="386"/>
      <c r="AA25" s="387"/>
      <c r="AB25" s="266"/>
      <c r="AC25" s="386"/>
      <c r="AD25" s="387"/>
      <c r="AE25" s="266"/>
      <c r="AF25" s="386"/>
      <c r="AG25" s="387"/>
      <c r="AH25" s="266"/>
      <c r="AI25" s="386"/>
      <c r="AJ25" s="387"/>
      <c r="AK25" s="266"/>
      <c r="AL25" s="386"/>
      <c r="AM25" s="387"/>
      <c r="AN25" s="388"/>
      <c r="AO25" s="387"/>
      <c r="AP25" s="810"/>
      <c r="AQ25" s="805"/>
      <c r="AR25" s="810"/>
      <c r="AS25" s="805"/>
    </row>
    <row r="26" spans="1:45">
      <c r="A26" s="797"/>
      <c r="B26" s="797"/>
      <c r="C26" s="819"/>
      <c r="D26" s="817"/>
      <c r="E26" s="817"/>
      <c r="F26" s="816"/>
      <c r="G26" s="816"/>
      <c r="H26" s="817"/>
      <c r="I26" s="268">
        <v>21</v>
      </c>
      <c r="J26" s="273" t="s">
        <v>445</v>
      </c>
      <c r="K26" s="268">
        <v>79757955</v>
      </c>
      <c r="L26" s="266" t="s">
        <v>446</v>
      </c>
      <c r="M26" s="267"/>
      <c r="N26" s="389" t="s">
        <v>508</v>
      </c>
      <c r="O26" s="385"/>
      <c r="P26" s="266"/>
      <c r="Q26" s="386"/>
      <c r="R26" s="387"/>
      <c r="S26" s="387"/>
      <c r="T26" s="386"/>
      <c r="U26" s="387"/>
      <c r="V26" s="266"/>
      <c r="W26" s="386"/>
      <c r="X26" s="387"/>
      <c r="Y26" s="266"/>
      <c r="Z26" s="386"/>
      <c r="AA26" s="387"/>
      <c r="AB26" s="266"/>
      <c r="AC26" s="386"/>
      <c r="AD26" s="387"/>
      <c r="AE26" s="266"/>
      <c r="AF26" s="386"/>
      <c r="AG26" s="387"/>
      <c r="AH26" s="266"/>
      <c r="AI26" s="386"/>
      <c r="AJ26" s="387"/>
      <c r="AK26" s="266"/>
      <c r="AL26" s="386"/>
      <c r="AM26" s="387"/>
      <c r="AN26" s="388"/>
      <c r="AO26" s="387"/>
      <c r="AP26" s="810"/>
      <c r="AQ26" s="805"/>
      <c r="AR26" s="810"/>
      <c r="AS26" s="805"/>
    </row>
    <row r="27" spans="1:45" ht="20.25">
      <c r="A27" s="797"/>
      <c r="B27" s="797"/>
      <c r="C27" s="819"/>
      <c r="D27" s="817"/>
      <c r="E27" s="817"/>
      <c r="F27" s="816"/>
      <c r="G27" s="816"/>
      <c r="H27" s="817"/>
      <c r="I27" s="268">
        <v>22</v>
      </c>
      <c r="J27" s="273" t="s">
        <v>338</v>
      </c>
      <c r="K27" s="268">
        <v>80842807</v>
      </c>
      <c r="L27" s="266" t="s">
        <v>447</v>
      </c>
      <c r="M27" s="267"/>
      <c r="N27" s="389" t="s">
        <v>522</v>
      </c>
      <c r="O27" s="385"/>
      <c r="P27" s="266"/>
      <c r="Q27" s="386"/>
      <c r="R27" s="387">
        <f t="shared" si="2"/>
        <v>0</v>
      </c>
      <c r="S27" s="387"/>
      <c r="T27" s="386"/>
      <c r="U27" s="387">
        <f t="shared" si="3"/>
        <v>0</v>
      </c>
      <c r="V27" s="266"/>
      <c r="W27" s="386"/>
      <c r="X27" s="387">
        <f t="shared" si="4"/>
        <v>0</v>
      </c>
      <c r="Y27" s="266"/>
      <c r="Z27" s="386"/>
      <c r="AA27" s="387">
        <f t="shared" si="5"/>
        <v>0</v>
      </c>
      <c r="AB27" s="266"/>
      <c r="AC27" s="386"/>
      <c r="AD27" s="387">
        <f t="shared" si="6"/>
        <v>0</v>
      </c>
      <c r="AE27" s="266"/>
      <c r="AF27" s="386"/>
      <c r="AG27" s="387">
        <f t="shared" si="7"/>
        <v>0</v>
      </c>
      <c r="AH27" s="266"/>
      <c r="AI27" s="386"/>
      <c r="AJ27" s="387">
        <f t="shared" si="8"/>
        <v>0</v>
      </c>
      <c r="AK27" s="266"/>
      <c r="AL27" s="386"/>
      <c r="AM27" s="387">
        <f t="shared" si="9"/>
        <v>0</v>
      </c>
      <c r="AN27" s="388">
        <f t="shared" si="0"/>
        <v>0</v>
      </c>
      <c r="AO27" s="387">
        <f t="shared" si="1"/>
        <v>0</v>
      </c>
      <c r="AP27" s="810"/>
      <c r="AQ27" s="805"/>
      <c r="AR27" s="810"/>
      <c r="AS27" s="805"/>
    </row>
    <row r="28" spans="1:45">
      <c r="A28" s="667"/>
      <c r="B28" s="667"/>
      <c r="C28" s="820"/>
      <c r="D28" s="817"/>
      <c r="E28" s="817"/>
      <c r="F28" s="816"/>
      <c r="G28" s="816"/>
      <c r="H28" s="818"/>
      <c r="I28" s="268">
        <v>23</v>
      </c>
      <c r="J28" s="273" t="s">
        <v>448</v>
      </c>
      <c r="K28" s="268">
        <v>80842807</v>
      </c>
      <c r="L28" s="266" t="s">
        <v>449</v>
      </c>
      <c r="M28" s="267"/>
      <c r="N28" s="389" t="s">
        <v>508</v>
      </c>
      <c r="O28" s="385"/>
      <c r="P28" s="266"/>
      <c r="Q28" s="386"/>
      <c r="R28" s="387">
        <f t="shared" si="2"/>
        <v>0</v>
      </c>
      <c r="S28" s="387"/>
      <c r="T28" s="386"/>
      <c r="U28" s="387">
        <f t="shared" si="3"/>
        <v>0</v>
      </c>
      <c r="V28" s="266"/>
      <c r="W28" s="386"/>
      <c r="X28" s="387">
        <f t="shared" si="4"/>
        <v>0</v>
      </c>
      <c r="Y28" s="266"/>
      <c r="Z28" s="386"/>
      <c r="AA28" s="387">
        <f t="shared" si="5"/>
        <v>0</v>
      </c>
      <c r="AB28" s="266"/>
      <c r="AC28" s="386"/>
      <c r="AD28" s="387">
        <f t="shared" si="6"/>
        <v>0</v>
      </c>
      <c r="AE28" s="266"/>
      <c r="AF28" s="386"/>
      <c r="AG28" s="387">
        <f t="shared" si="7"/>
        <v>0</v>
      </c>
      <c r="AH28" s="266"/>
      <c r="AI28" s="386"/>
      <c r="AJ28" s="387">
        <f t="shared" si="8"/>
        <v>0</v>
      </c>
      <c r="AK28" s="266"/>
      <c r="AL28" s="386"/>
      <c r="AM28" s="387">
        <f t="shared" si="9"/>
        <v>0</v>
      </c>
      <c r="AN28" s="388">
        <f t="shared" si="0"/>
        <v>0</v>
      </c>
      <c r="AO28" s="387">
        <f t="shared" si="1"/>
        <v>0</v>
      </c>
      <c r="AP28" s="810"/>
      <c r="AQ28" s="805"/>
      <c r="AR28" s="810"/>
      <c r="AS28" s="805"/>
    </row>
    <row r="29" spans="1:45">
      <c r="A29" s="552"/>
      <c r="B29" s="797" t="s">
        <v>58</v>
      </c>
      <c r="C29" s="798" t="s">
        <v>191</v>
      </c>
      <c r="D29" s="799">
        <v>1142</v>
      </c>
      <c r="E29" s="675">
        <v>10</v>
      </c>
      <c r="F29" s="764">
        <v>175634</v>
      </c>
      <c r="G29" s="752">
        <f>F29*D29</f>
        <v>200574028</v>
      </c>
      <c r="H29" s="758">
        <f>D29/E29</f>
        <v>114.2</v>
      </c>
      <c r="I29" s="800">
        <v>10</v>
      </c>
      <c r="J29" s="674"/>
      <c r="K29" s="674"/>
      <c r="L29" s="674"/>
      <c r="M29" s="674"/>
      <c r="N29" s="792"/>
      <c r="O29" s="550"/>
      <c r="P29" s="789"/>
      <c r="Q29" s="785"/>
      <c r="R29" s="785">
        <f>P29*Q29</f>
        <v>0</v>
      </c>
      <c r="S29" s="785"/>
      <c r="T29" s="785"/>
      <c r="U29" s="785">
        <f>S29*T29</f>
        <v>0</v>
      </c>
      <c r="V29" s="789"/>
      <c r="W29" s="785"/>
      <c r="X29" s="785">
        <f>V29*W29</f>
        <v>0</v>
      </c>
      <c r="Y29" s="789"/>
      <c r="Z29" s="785"/>
      <c r="AA29" s="785">
        <f>Y29*Z29</f>
        <v>0</v>
      </c>
      <c r="AB29" s="789"/>
      <c r="AC29" s="785"/>
      <c r="AD29" s="785">
        <f>AB29*AC29</f>
        <v>0</v>
      </c>
      <c r="AE29" s="789"/>
      <c r="AF29" s="785"/>
      <c r="AG29" s="785">
        <f>AE29*AF29</f>
        <v>0</v>
      </c>
      <c r="AH29" s="789"/>
      <c r="AI29" s="785"/>
      <c r="AJ29" s="785">
        <f>AH29*AI29</f>
        <v>0</v>
      </c>
      <c r="AK29" s="789"/>
      <c r="AL29" s="785"/>
      <c r="AM29" s="785">
        <f>AK29*AL29</f>
        <v>0</v>
      </c>
      <c r="AN29" s="787">
        <f>AK29+AH29+AE29+AB29+Y29+V29+S29+P29</f>
        <v>0</v>
      </c>
      <c r="AO29" s="785">
        <f>AM29+AJ29+AG29+AD29+AA29+X29+U29+R29</f>
        <v>0</v>
      </c>
      <c r="AP29" s="751">
        <f>AN29</f>
        <v>0</v>
      </c>
      <c r="AQ29" s="752">
        <f>AO29</f>
        <v>0</v>
      </c>
      <c r="AR29" s="753">
        <f>AP29-D29</f>
        <v>-1142</v>
      </c>
      <c r="AS29" s="755">
        <f>AQ29-G29</f>
        <v>-200574028</v>
      </c>
    </row>
    <row r="30" spans="1:45">
      <c r="A30" s="552"/>
      <c r="B30" s="797"/>
      <c r="C30" s="798"/>
      <c r="D30" s="702"/>
      <c r="E30" s="757"/>
      <c r="F30" s="769"/>
      <c r="G30" s="752"/>
      <c r="H30" s="759"/>
      <c r="I30" s="679"/>
      <c r="J30" s="675"/>
      <c r="K30" s="791"/>
      <c r="L30" s="791"/>
      <c r="M30" s="791"/>
      <c r="N30" s="793"/>
      <c r="O30" s="551"/>
      <c r="P30" s="790"/>
      <c r="Q30" s="786"/>
      <c r="R30" s="786"/>
      <c r="S30" s="786"/>
      <c r="T30" s="786"/>
      <c r="U30" s="786"/>
      <c r="V30" s="790"/>
      <c r="W30" s="786"/>
      <c r="X30" s="786"/>
      <c r="Y30" s="790"/>
      <c r="Z30" s="786"/>
      <c r="AA30" s="786"/>
      <c r="AB30" s="790"/>
      <c r="AC30" s="786"/>
      <c r="AD30" s="786"/>
      <c r="AE30" s="790"/>
      <c r="AF30" s="786"/>
      <c r="AG30" s="786"/>
      <c r="AH30" s="790"/>
      <c r="AI30" s="786"/>
      <c r="AJ30" s="786"/>
      <c r="AK30" s="790"/>
      <c r="AL30" s="786"/>
      <c r="AM30" s="786"/>
      <c r="AN30" s="788"/>
      <c r="AO30" s="786"/>
      <c r="AP30" s="751"/>
      <c r="AQ30" s="752"/>
      <c r="AR30" s="765">
        <f>AP30-D30</f>
        <v>0</v>
      </c>
      <c r="AS30" s="766">
        <f>AQ30-G30</f>
        <v>0</v>
      </c>
    </row>
    <row r="31" spans="1:45" ht="20.25">
      <c r="A31" s="666" t="s">
        <v>169</v>
      </c>
      <c r="B31" s="666" t="s">
        <v>140</v>
      </c>
      <c r="C31" s="807" t="s">
        <v>170</v>
      </c>
      <c r="D31" s="757">
        <v>460</v>
      </c>
      <c r="E31" s="757">
        <v>5</v>
      </c>
      <c r="F31" s="805">
        <v>223020</v>
      </c>
      <c r="G31" s="805">
        <f>F31*D31</f>
        <v>102589200</v>
      </c>
      <c r="H31" s="801">
        <f>D31/E31</f>
        <v>92</v>
      </c>
      <c r="I31" s="268">
        <v>1</v>
      </c>
      <c r="J31" s="273" t="s">
        <v>450</v>
      </c>
      <c r="K31" s="268">
        <v>79818267</v>
      </c>
      <c r="L31" s="268"/>
      <c r="M31" s="268"/>
      <c r="N31" s="389" t="s">
        <v>451</v>
      </c>
      <c r="O31" s="389"/>
      <c r="P31" s="266"/>
      <c r="Q31" s="386"/>
      <c r="R31" s="387">
        <f t="shared" si="2"/>
        <v>0</v>
      </c>
      <c r="S31" s="387"/>
      <c r="T31" s="386"/>
      <c r="U31" s="387">
        <f t="shared" si="3"/>
        <v>0</v>
      </c>
      <c r="V31" s="266"/>
      <c r="W31" s="386"/>
      <c r="X31" s="387">
        <f t="shared" si="4"/>
        <v>0</v>
      </c>
      <c r="Y31" s="266"/>
      <c r="Z31" s="386"/>
      <c r="AA31" s="387">
        <f t="shared" si="5"/>
        <v>0</v>
      </c>
      <c r="AB31" s="266"/>
      <c r="AC31" s="386"/>
      <c r="AD31" s="387">
        <f t="shared" si="6"/>
        <v>0</v>
      </c>
      <c r="AE31" s="266"/>
      <c r="AF31" s="386"/>
      <c r="AG31" s="387">
        <f t="shared" si="7"/>
        <v>0</v>
      </c>
      <c r="AH31" s="266"/>
      <c r="AI31" s="386"/>
      <c r="AJ31" s="387">
        <f t="shared" si="8"/>
        <v>0</v>
      </c>
      <c r="AK31" s="266"/>
      <c r="AL31" s="386"/>
      <c r="AM31" s="387">
        <f t="shared" si="9"/>
        <v>0</v>
      </c>
      <c r="AN31" s="388">
        <f t="shared" si="0"/>
        <v>0</v>
      </c>
      <c r="AO31" s="386">
        <f t="shared" si="1"/>
        <v>0</v>
      </c>
      <c r="AP31" s="813">
        <f>SUM(AN31:AN35)</f>
        <v>0</v>
      </c>
      <c r="AQ31" s="815">
        <f>SUM(AO31:AO35)</f>
        <v>0</v>
      </c>
      <c r="AR31" s="812">
        <f>AP31-D31</f>
        <v>-460</v>
      </c>
      <c r="AS31" s="814">
        <f>AQ31-G31</f>
        <v>-102589200</v>
      </c>
    </row>
    <row r="32" spans="1:45" ht="30">
      <c r="A32" s="797"/>
      <c r="B32" s="797"/>
      <c r="C32" s="808"/>
      <c r="D32" s="757"/>
      <c r="E32" s="757"/>
      <c r="F32" s="805"/>
      <c r="G32" s="805"/>
      <c r="H32" s="802"/>
      <c r="I32" s="268">
        <v>2</v>
      </c>
      <c r="J32" s="273" t="s">
        <v>452</v>
      </c>
      <c r="K32" s="268">
        <v>79958029</v>
      </c>
      <c r="L32" s="268"/>
      <c r="M32" s="268"/>
      <c r="N32" s="389" t="s">
        <v>453</v>
      </c>
      <c r="O32" s="389"/>
      <c r="P32" s="266"/>
      <c r="Q32" s="386"/>
      <c r="R32" s="387">
        <f t="shared" si="2"/>
        <v>0</v>
      </c>
      <c r="S32" s="387"/>
      <c r="T32" s="386"/>
      <c r="U32" s="387">
        <f t="shared" si="3"/>
        <v>0</v>
      </c>
      <c r="V32" s="266"/>
      <c r="W32" s="386"/>
      <c r="X32" s="387">
        <f t="shared" si="4"/>
        <v>0</v>
      </c>
      <c r="Y32" s="266"/>
      <c r="Z32" s="386"/>
      <c r="AA32" s="387">
        <f t="shared" si="5"/>
        <v>0</v>
      </c>
      <c r="AB32" s="266"/>
      <c r="AC32" s="386"/>
      <c r="AD32" s="387">
        <f t="shared" si="6"/>
        <v>0</v>
      </c>
      <c r="AE32" s="266"/>
      <c r="AF32" s="386"/>
      <c r="AG32" s="387">
        <f t="shared" si="7"/>
        <v>0</v>
      </c>
      <c r="AH32" s="266"/>
      <c r="AI32" s="386"/>
      <c r="AJ32" s="387">
        <f t="shared" si="8"/>
        <v>0</v>
      </c>
      <c r="AK32" s="266"/>
      <c r="AL32" s="386"/>
      <c r="AM32" s="387">
        <f t="shared" si="9"/>
        <v>0</v>
      </c>
      <c r="AN32" s="388">
        <f t="shared" si="0"/>
        <v>0</v>
      </c>
      <c r="AO32" s="386">
        <f t="shared" si="1"/>
        <v>0</v>
      </c>
      <c r="AP32" s="810"/>
      <c r="AQ32" s="805"/>
      <c r="AR32" s="812"/>
      <c r="AS32" s="814"/>
    </row>
    <row r="33" spans="1:45">
      <c r="A33" s="797"/>
      <c r="B33" s="797"/>
      <c r="C33" s="808"/>
      <c r="D33" s="757"/>
      <c r="E33" s="757"/>
      <c r="F33" s="805"/>
      <c r="G33" s="805"/>
      <c r="H33" s="802"/>
      <c r="I33" s="268">
        <v>3</v>
      </c>
      <c r="J33" s="273" t="s">
        <v>454</v>
      </c>
      <c r="K33" s="268">
        <v>1030577228</v>
      </c>
      <c r="L33" s="268"/>
      <c r="M33" s="268"/>
      <c r="N33" s="389" t="s">
        <v>455</v>
      </c>
      <c r="O33" s="389"/>
      <c r="P33" s="266"/>
      <c r="Q33" s="386"/>
      <c r="R33" s="387">
        <f t="shared" si="2"/>
        <v>0</v>
      </c>
      <c r="S33" s="387"/>
      <c r="T33" s="386"/>
      <c r="U33" s="387">
        <f t="shared" si="3"/>
        <v>0</v>
      </c>
      <c r="V33" s="266"/>
      <c r="W33" s="386"/>
      <c r="X33" s="387">
        <f t="shared" si="4"/>
        <v>0</v>
      </c>
      <c r="Y33" s="266"/>
      <c r="Z33" s="386"/>
      <c r="AA33" s="387">
        <f t="shared" si="5"/>
        <v>0</v>
      </c>
      <c r="AB33" s="266"/>
      <c r="AC33" s="386"/>
      <c r="AD33" s="387">
        <f t="shared" si="6"/>
        <v>0</v>
      </c>
      <c r="AE33" s="266"/>
      <c r="AF33" s="386"/>
      <c r="AG33" s="387">
        <f t="shared" si="7"/>
        <v>0</v>
      </c>
      <c r="AH33" s="266"/>
      <c r="AI33" s="386"/>
      <c r="AJ33" s="387">
        <f t="shared" si="8"/>
        <v>0</v>
      </c>
      <c r="AK33" s="266"/>
      <c r="AL33" s="386"/>
      <c r="AM33" s="387">
        <f t="shared" si="9"/>
        <v>0</v>
      </c>
      <c r="AN33" s="388">
        <f t="shared" si="0"/>
        <v>0</v>
      </c>
      <c r="AO33" s="386">
        <f t="shared" si="1"/>
        <v>0</v>
      </c>
      <c r="AP33" s="810"/>
      <c r="AQ33" s="805"/>
      <c r="AR33" s="812"/>
      <c r="AS33" s="814"/>
    </row>
    <row r="34" spans="1:45" ht="20.25">
      <c r="A34" s="797"/>
      <c r="B34" s="797"/>
      <c r="C34" s="808"/>
      <c r="D34" s="757"/>
      <c r="E34" s="757"/>
      <c r="F34" s="805"/>
      <c r="G34" s="805"/>
      <c r="H34" s="802"/>
      <c r="I34" s="268">
        <v>4</v>
      </c>
      <c r="J34" s="273" t="s">
        <v>456</v>
      </c>
      <c r="K34" s="268">
        <v>80192293</v>
      </c>
      <c r="L34" s="268"/>
      <c r="M34" s="268"/>
      <c r="N34" s="389" t="s">
        <v>457</v>
      </c>
      <c r="O34" s="389"/>
      <c r="P34" s="266"/>
      <c r="Q34" s="386"/>
      <c r="R34" s="387">
        <f t="shared" si="2"/>
        <v>0</v>
      </c>
      <c r="S34" s="387"/>
      <c r="T34" s="386"/>
      <c r="U34" s="387">
        <f t="shared" si="3"/>
        <v>0</v>
      </c>
      <c r="V34" s="266"/>
      <c r="W34" s="386"/>
      <c r="X34" s="387">
        <f t="shared" si="4"/>
        <v>0</v>
      </c>
      <c r="Y34" s="266"/>
      <c r="Z34" s="386"/>
      <c r="AA34" s="387">
        <f t="shared" si="5"/>
        <v>0</v>
      </c>
      <c r="AB34" s="266"/>
      <c r="AC34" s="386"/>
      <c r="AD34" s="387">
        <f t="shared" si="6"/>
        <v>0</v>
      </c>
      <c r="AE34" s="266"/>
      <c r="AF34" s="386"/>
      <c r="AG34" s="387">
        <f t="shared" si="7"/>
        <v>0</v>
      </c>
      <c r="AH34" s="266"/>
      <c r="AI34" s="386"/>
      <c r="AJ34" s="387">
        <f t="shared" si="8"/>
        <v>0</v>
      </c>
      <c r="AK34" s="266"/>
      <c r="AL34" s="386"/>
      <c r="AM34" s="387">
        <f t="shared" si="9"/>
        <v>0</v>
      </c>
      <c r="AN34" s="388">
        <f t="shared" si="0"/>
        <v>0</v>
      </c>
      <c r="AO34" s="386">
        <f t="shared" si="1"/>
        <v>0</v>
      </c>
      <c r="AP34" s="810"/>
      <c r="AQ34" s="805"/>
      <c r="AR34" s="812"/>
      <c r="AS34" s="814"/>
    </row>
    <row r="35" spans="1:45" ht="20.25">
      <c r="A35" s="797"/>
      <c r="B35" s="667"/>
      <c r="C35" s="809"/>
      <c r="D35" s="757"/>
      <c r="E35" s="757"/>
      <c r="F35" s="805"/>
      <c r="G35" s="805"/>
      <c r="H35" s="803"/>
      <c r="I35" s="268">
        <v>5</v>
      </c>
      <c r="J35" s="273" t="s">
        <v>458</v>
      </c>
      <c r="K35" s="268">
        <v>1032445734</v>
      </c>
      <c r="L35" s="268"/>
      <c r="M35" s="268"/>
      <c r="N35" s="389" t="s">
        <v>459</v>
      </c>
      <c r="O35" s="389"/>
      <c r="P35" s="266"/>
      <c r="Q35" s="386"/>
      <c r="R35" s="387">
        <f t="shared" si="2"/>
        <v>0</v>
      </c>
      <c r="S35" s="387"/>
      <c r="T35" s="386"/>
      <c r="U35" s="387">
        <f t="shared" si="3"/>
        <v>0</v>
      </c>
      <c r="V35" s="266"/>
      <c r="W35" s="386"/>
      <c r="X35" s="387">
        <f t="shared" si="4"/>
        <v>0</v>
      </c>
      <c r="Y35" s="266"/>
      <c r="Z35" s="386"/>
      <c r="AA35" s="387">
        <f t="shared" si="5"/>
        <v>0</v>
      </c>
      <c r="AB35" s="266"/>
      <c r="AC35" s="386"/>
      <c r="AD35" s="387">
        <f t="shared" si="6"/>
        <v>0</v>
      </c>
      <c r="AE35" s="266"/>
      <c r="AF35" s="386"/>
      <c r="AG35" s="387">
        <f t="shared" si="7"/>
        <v>0</v>
      </c>
      <c r="AH35" s="266"/>
      <c r="AI35" s="386"/>
      <c r="AJ35" s="387">
        <f t="shared" si="8"/>
        <v>0</v>
      </c>
      <c r="AK35" s="266"/>
      <c r="AL35" s="386"/>
      <c r="AM35" s="387">
        <f t="shared" si="9"/>
        <v>0</v>
      </c>
      <c r="AN35" s="388">
        <f t="shared" si="0"/>
        <v>0</v>
      </c>
      <c r="AO35" s="386">
        <f t="shared" si="1"/>
        <v>0</v>
      </c>
      <c r="AP35" s="810"/>
      <c r="AQ35" s="805"/>
      <c r="AR35" s="813"/>
      <c r="AS35" s="815"/>
    </row>
    <row r="36" spans="1:45" s="558" customFormat="1" ht="39.75">
      <c r="A36" s="797"/>
      <c r="B36" s="666" t="s">
        <v>146</v>
      </c>
      <c r="C36" s="807" t="s">
        <v>176</v>
      </c>
      <c r="D36" s="675">
        <v>1600</v>
      </c>
      <c r="E36" s="675">
        <v>10</v>
      </c>
      <c r="F36" s="764">
        <v>175634</v>
      </c>
      <c r="G36" s="766">
        <f>F36*D36</f>
        <v>281014400</v>
      </c>
      <c r="H36" s="801">
        <f>D36/E36</f>
        <v>160</v>
      </c>
      <c r="I36" s="268">
        <v>1</v>
      </c>
      <c r="J36" s="273" t="s">
        <v>460</v>
      </c>
      <c r="K36" s="268">
        <v>16770145</v>
      </c>
      <c r="L36" s="268"/>
      <c r="M36" s="268"/>
      <c r="N36" s="556" t="s">
        <v>461</v>
      </c>
      <c r="O36" s="556"/>
      <c r="P36" s="557"/>
      <c r="Q36" s="398"/>
      <c r="R36" s="399">
        <f t="shared" si="2"/>
        <v>0</v>
      </c>
      <c r="S36" s="399"/>
      <c r="T36" s="398"/>
      <c r="U36" s="399">
        <f t="shared" si="3"/>
        <v>0</v>
      </c>
      <c r="V36" s="557"/>
      <c r="W36" s="398"/>
      <c r="X36" s="399">
        <f t="shared" si="4"/>
        <v>0</v>
      </c>
      <c r="Y36" s="557"/>
      <c r="Z36" s="398"/>
      <c r="AA36" s="399">
        <f t="shared" si="5"/>
        <v>0</v>
      </c>
      <c r="AB36" s="557"/>
      <c r="AC36" s="398"/>
      <c r="AD36" s="399">
        <f t="shared" si="6"/>
        <v>0</v>
      </c>
      <c r="AE36" s="557"/>
      <c r="AF36" s="398"/>
      <c r="AG36" s="399">
        <f t="shared" si="7"/>
        <v>0</v>
      </c>
      <c r="AH36" s="557"/>
      <c r="AI36" s="398"/>
      <c r="AJ36" s="399">
        <f t="shared" si="8"/>
        <v>0</v>
      </c>
      <c r="AK36" s="557"/>
      <c r="AL36" s="398"/>
      <c r="AM36" s="399">
        <f t="shared" si="9"/>
        <v>0</v>
      </c>
      <c r="AN36" s="402">
        <f t="shared" si="0"/>
        <v>0</v>
      </c>
      <c r="AO36" s="398">
        <f t="shared" si="1"/>
        <v>0</v>
      </c>
      <c r="AP36" s="765">
        <f>SUM(AN36:AN45)</f>
        <v>0</v>
      </c>
      <c r="AQ36" s="766">
        <f>SUM(AO36:AO45)</f>
        <v>0</v>
      </c>
      <c r="AR36" s="753">
        <f t="shared" ref="AR36" si="10">AP36-D36</f>
        <v>-1600</v>
      </c>
      <c r="AS36" s="755">
        <f t="shared" ref="AS36" si="11">AQ36-G36</f>
        <v>-281014400</v>
      </c>
    </row>
    <row r="37" spans="1:45">
      <c r="A37" s="797"/>
      <c r="B37" s="797"/>
      <c r="C37" s="808"/>
      <c r="D37" s="757"/>
      <c r="E37" s="757"/>
      <c r="F37" s="769"/>
      <c r="G37" s="752"/>
      <c r="H37" s="802"/>
      <c r="I37" s="268">
        <v>2</v>
      </c>
      <c r="J37" s="273" t="s">
        <v>462</v>
      </c>
      <c r="K37" s="268">
        <v>1022403762</v>
      </c>
      <c r="L37" s="268"/>
      <c r="M37" s="268"/>
      <c r="N37" s="389"/>
      <c r="O37" s="389"/>
      <c r="P37" s="266"/>
      <c r="Q37" s="386"/>
      <c r="R37" s="387">
        <f t="shared" si="2"/>
        <v>0</v>
      </c>
      <c r="S37" s="387"/>
      <c r="T37" s="386"/>
      <c r="U37" s="387">
        <f t="shared" si="3"/>
        <v>0</v>
      </c>
      <c r="V37" s="266"/>
      <c r="W37" s="386"/>
      <c r="X37" s="387">
        <f t="shared" si="4"/>
        <v>0</v>
      </c>
      <c r="Y37" s="266"/>
      <c r="Z37" s="386"/>
      <c r="AA37" s="387">
        <f t="shared" si="5"/>
        <v>0</v>
      </c>
      <c r="AB37" s="266"/>
      <c r="AC37" s="386"/>
      <c r="AD37" s="387">
        <f t="shared" si="6"/>
        <v>0</v>
      </c>
      <c r="AE37" s="266"/>
      <c r="AF37" s="386"/>
      <c r="AG37" s="387">
        <f t="shared" si="7"/>
        <v>0</v>
      </c>
      <c r="AH37" s="266"/>
      <c r="AI37" s="386"/>
      <c r="AJ37" s="387">
        <f t="shared" si="8"/>
        <v>0</v>
      </c>
      <c r="AK37" s="266"/>
      <c r="AL37" s="386"/>
      <c r="AM37" s="387">
        <f t="shared" si="9"/>
        <v>0</v>
      </c>
      <c r="AN37" s="388">
        <f t="shared" si="0"/>
        <v>0</v>
      </c>
      <c r="AO37" s="386">
        <f t="shared" si="1"/>
        <v>0</v>
      </c>
      <c r="AP37" s="751"/>
      <c r="AQ37" s="752"/>
      <c r="AR37" s="754"/>
      <c r="AS37" s="756"/>
    </row>
    <row r="38" spans="1:45" ht="20.25">
      <c r="A38" s="797"/>
      <c r="B38" s="797"/>
      <c r="C38" s="808"/>
      <c r="D38" s="757"/>
      <c r="E38" s="757"/>
      <c r="F38" s="769"/>
      <c r="G38" s="752"/>
      <c r="H38" s="802"/>
      <c r="I38" s="268">
        <v>3</v>
      </c>
      <c r="J38" s="273" t="s">
        <v>463</v>
      </c>
      <c r="K38" s="268">
        <v>1032377700</v>
      </c>
      <c r="L38" s="268"/>
      <c r="M38" s="268"/>
      <c r="N38" s="389" t="s">
        <v>464</v>
      </c>
      <c r="O38" s="389"/>
      <c r="P38" s="266"/>
      <c r="Q38" s="386"/>
      <c r="R38" s="387">
        <f t="shared" si="2"/>
        <v>0</v>
      </c>
      <c r="S38" s="387"/>
      <c r="T38" s="386"/>
      <c r="U38" s="387">
        <f t="shared" si="3"/>
        <v>0</v>
      </c>
      <c r="V38" s="266"/>
      <c r="W38" s="386"/>
      <c r="X38" s="387">
        <f t="shared" si="4"/>
        <v>0</v>
      </c>
      <c r="Y38" s="266"/>
      <c r="Z38" s="386"/>
      <c r="AA38" s="387">
        <f t="shared" si="5"/>
        <v>0</v>
      </c>
      <c r="AB38" s="266"/>
      <c r="AC38" s="386"/>
      <c r="AD38" s="387">
        <f t="shared" si="6"/>
        <v>0</v>
      </c>
      <c r="AE38" s="266"/>
      <c r="AF38" s="386"/>
      <c r="AG38" s="387">
        <f t="shared" si="7"/>
        <v>0</v>
      </c>
      <c r="AH38" s="266"/>
      <c r="AI38" s="386"/>
      <c r="AJ38" s="387">
        <f t="shared" si="8"/>
        <v>0</v>
      </c>
      <c r="AK38" s="266"/>
      <c r="AL38" s="386"/>
      <c r="AM38" s="387">
        <f t="shared" si="9"/>
        <v>0</v>
      </c>
      <c r="AN38" s="388">
        <f t="shared" si="0"/>
        <v>0</v>
      </c>
      <c r="AO38" s="386">
        <f t="shared" si="1"/>
        <v>0</v>
      </c>
      <c r="AP38" s="751"/>
      <c r="AQ38" s="752"/>
      <c r="AR38" s="754"/>
      <c r="AS38" s="756"/>
    </row>
    <row r="39" spans="1:45" ht="30">
      <c r="A39" s="797"/>
      <c r="B39" s="797"/>
      <c r="C39" s="808"/>
      <c r="D39" s="757"/>
      <c r="E39" s="757"/>
      <c r="F39" s="769"/>
      <c r="G39" s="752"/>
      <c r="H39" s="802"/>
      <c r="I39" s="268">
        <v>4</v>
      </c>
      <c r="J39" s="273" t="s">
        <v>465</v>
      </c>
      <c r="K39" s="268">
        <v>79454554</v>
      </c>
      <c r="L39" s="268"/>
      <c r="M39" s="268"/>
      <c r="N39" s="389" t="s">
        <v>466</v>
      </c>
      <c r="O39" s="389"/>
      <c r="P39" s="266"/>
      <c r="Q39" s="386"/>
      <c r="R39" s="387">
        <f t="shared" si="2"/>
        <v>0</v>
      </c>
      <c r="S39" s="387"/>
      <c r="T39" s="386"/>
      <c r="U39" s="387">
        <f t="shared" si="3"/>
        <v>0</v>
      </c>
      <c r="V39" s="266"/>
      <c r="W39" s="386"/>
      <c r="X39" s="387">
        <f t="shared" si="4"/>
        <v>0</v>
      </c>
      <c r="Y39" s="266"/>
      <c r="Z39" s="386"/>
      <c r="AA39" s="387">
        <f t="shared" si="5"/>
        <v>0</v>
      </c>
      <c r="AB39" s="266"/>
      <c r="AC39" s="386"/>
      <c r="AD39" s="387">
        <f t="shared" si="6"/>
        <v>0</v>
      </c>
      <c r="AE39" s="266"/>
      <c r="AF39" s="386"/>
      <c r="AG39" s="387">
        <f t="shared" si="7"/>
        <v>0</v>
      </c>
      <c r="AH39" s="266"/>
      <c r="AI39" s="386"/>
      <c r="AJ39" s="387">
        <f t="shared" si="8"/>
        <v>0</v>
      </c>
      <c r="AK39" s="266"/>
      <c r="AL39" s="386"/>
      <c r="AM39" s="387">
        <f t="shared" si="9"/>
        <v>0</v>
      </c>
      <c r="AN39" s="388">
        <f t="shared" si="0"/>
        <v>0</v>
      </c>
      <c r="AO39" s="386">
        <f t="shared" si="1"/>
        <v>0</v>
      </c>
      <c r="AP39" s="751"/>
      <c r="AQ39" s="752"/>
      <c r="AR39" s="754"/>
      <c r="AS39" s="756"/>
    </row>
    <row r="40" spans="1:45">
      <c r="A40" s="797"/>
      <c r="B40" s="797"/>
      <c r="C40" s="808"/>
      <c r="D40" s="757"/>
      <c r="E40" s="757"/>
      <c r="F40" s="769"/>
      <c r="G40" s="752"/>
      <c r="H40" s="802"/>
      <c r="I40" s="268">
        <v>5</v>
      </c>
      <c r="J40" s="273" t="s">
        <v>467</v>
      </c>
      <c r="K40" s="268">
        <v>1022929259</v>
      </c>
      <c r="L40" s="268"/>
      <c r="M40" s="268"/>
      <c r="N40" s="389" t="s">
        <v>468</v>
      </c>
      <c r="O40" s="389"/>
      <c r="P40" s="266"/>
      <c r="Q40" s="386"/>
      <c r="R40" s="387">
        <f t="shared" si="2"/>
        <v>0</v>
      </c>
      <c r="S40" s="387"/>
      <c r="T40" s="386"/>
      <c r="U40" s="387">
        <f t="shared" si="3"/>
        <v>0</v>
      </c>
      <c r="V40" s="266"/>
      <c r="W40" s="386"/>
      <c r="X40" s="387">
        <f t="shared" si="4"/>
        <v>0</v>
      </c>
      <c r="Y40" s="266"/>
      <c r="Z40" s="386"/>
      <c r="AA40" s="387">
        <f t="shared" si="5"/>
        <v>0</v>
      </c>
      <c r="AB40" s="266"/>
      <c r="AC40" s="386"/>
      <c r="AD40" s="387">
        <f t="shared" si="6"/>
        <v>0</v>
      </c>
      <c r="AE40" s="266"/>
      <c r="AF40" s="386"/>
      <c r="AG40" s="387">
        <f t="shared" si="7"/>
        <v>0</v>
      </c>
      <c r="AH40" s="266"/>
      <c r="AI40" s="386"/>
      <c r="AJ40" s="387">
        <f t="shared" si="8"/>
        <v>0</v>
      </c>
      <c r="AK40" s="266"/>
      <c r="AL40" s="386"/>
      <c r="AM40" s="387">
        <f t="shared" si="9"/>
        <v>0</v>
      </c>
      <c r="AN40" s="388">
        <f t="shared" si="0"/>
        <v>0</v>
      </c>
      <c r="AO40" s="386">
        <f t="shared" si="1"/>
        <v>0</v>
      </c>
      <c r="AP40" s="751"/>
      <c r="AQ40" s="752"/>
      <c r="AR40" s="754"/>
      <c r="AS40" s="756"/>
    </row>
    <row r="41" spans="1:45">
      <c r="A41" s="797"/>
      <c r="B41" s="797"/>
      <c r="C41" s="808"/>
      <c r="D41" s="757"/>
      <c r="E41" s="757"/>
      <c r="F41" s="769"/>
      <c r="G41" s="752"/>
      <c r="H41" s="802"/>
      <c r="I41" s="268">
        <v>6</v>
      </c>
      <c r="J41" s="273" t="s">
        <v>469</v>
      </c>
      <c r="K41" s="268">
        <v>80252505</v>
      </c>
      <c r="L41" s="268"/>
      <c r="M41" s="268"/>
      <c r="N41" s="389" t="s">
        <v>455</v>
      </c>
      <c r="O41" s="389"/>
      <c r="P41" s="266"/>
      <c r="Q41" s="386"/>
      <c r="R41" s="387">
        <f t="shared" si="2"/>
        <v>0</v>
      </c>
      <c r="S41" s="387"/>
      <c r="T41" s="386"/>
      <c r="U41" s="387">
        <f t="shared" si="3"/>
        <v>0</v>
      </c>
      <c r="V41" s="266"/>
      <c r="W41" s="386"/>
      <c r="X41" s="387">
        <f t="shared" si="4"/>
        <v>0</v>
      </c>
      <c r="Y41" s="266"/>
      <c r="Z41" s="386"/>
      <c r="AA41" s="387">
        <f t="shared" si="5"/>
        <v>0</v>
      </c>
      <c r="AB41" s="266"/>
      <c r="AC41" s="386"/>
      <c r="AD41" s="387">
        <f t="shared" si="6"/>
        <v>0</v>
      </c>
      <c r="AE41" s="266"/>
      <c r="AF41" s="386"/>
      <c r="AG41" s="387">
        <f t="shared" si="7"/>
        <v>0</v>
      </c>
      <c r="AH41" s="266"/>
      <c r="AI41" s="386"/>
      <c r="AJ41" s="387">
        <f t="shared" si="8"/>
        <v>0</v>
      </c>
      <c r="AK41" s="266"/>
      <c r="AL41" s="386"/>
      <c r="AM41" s="387">
        <f t="shared" si="9"/>
        <v>0</v>
      </c>
      <c r="AN41" s="388">
        <f t="shared" si="0"/>
        <v>0</v>
      </c>
      <c r="AO41" s="386">
        <f t="shared" si="1"/>
        <v>0</v>
      </c>
      <c r="AP41" s="751"/>
      <c r="AQ41" s="752"/>
      <c r="AR41" s="754">
        <f t="shared" ref="AR41" si="12">AP41-D41</f>
        <v>0</v>
      </c>
      <c r="AS41" s="756">
        <f t="shared" ref="AS41" si="13">AQ41-G41</f>
        <v>0</v>
      </c>
    </row>
    <row r="42" spans="1:45" ht="20.25">
      <c r="A42" s="797"/>
      <c r="B42" s="797"/>
      <c r="C42" s="808"/>
      <c r="D42" s="757"/>
      <c r="E42" s="757"/>
      <c r="F42" s="769"/>
      <c r="G42" s="752"/>
      <c r="H42" s="802"/>
      <c r="I42" s="268">
        <v>7</v>
      </c>
      <c r="J42" s="273" t="s">
        <v>470</v>
      </c>
      <c r="K42" s="268">
        <v>1073681008</v>
      </c>
      <c r="L42" s="268"/>
      <c r="M42" s="268"/>
      <c r="N42" s="389" t="s">
        <v>464</v>
      </c>
      <c r="O42" s="389"/>
      <c r="P42" s="266"/>
      <c r="Q42" s="386"/>
      <c r="R42" s="387">
        <f t="shared" si="2"/>
        <v>0</v>
      </c>
      <c r="S42" s="387"/>
      <c r="T42" s="386"/>
      <c r="U42" s="387">
        <f t="shared" si="3"/>
        <v>0</v>
      </c>
      <c r="V42" s="266"/>
      <c r="W42" s="386"/>
      <c r="X42" s="387">
        <f t="shared" si="4"/>
        <v>0</v>
      </c>
      <c r="Y42" s="266"/>
      <c r="Z42" s="386"/>
      <c r="AA42" s="387">
        <f t="shared" si="5"/>
        <v>0</v>
      </c>
      <c r="AB42" s="266"/>
      <c r="AC42" s="386"/>
      <c r="AD42" s="387">
        <f t="shared" si="6"/>
        <v>0</v>
      </c>
      <c r="AE42" s="266"/>
      <c r="AF42" s="386"/>
      <c r="AG42" s="387">
        <f t="shared" si="7"/>
        <v>0</v>
      </c>
      <c r="AH42" s="266"/>
      <c r="AI42" s="386"/>
      <c r="AJ42" s="387">
        <f t="shared" si="8"/>
        <v>0</v>
      </c>
      <c r="AK42" s="266"/>
      <c r="AL42" s="386"/>
      <c r="AM42" s="387">
        <f t="shared" si="9"/>
        <v>0</v>
      </c>
      <c r="AN42" s="388">
        <f t="shared" si="0"/>
        <v>0</v>
      </c>
      <c r="AO42" s="386">
        <f t="shared" si="1"/>
        <v>0</v>
      </c>
      <c r="AP42" s="751"/>
      <c r="AQ42" s="752"/>
      <c r="AR42" s="754"/>
      <c r="AS42" s="756"/>
    </row>
    <row r="43" spans="1:45" ht="39.75">
      <c r="A43" s="797"/>
      <c r="B43" s="797"/>
      <c r="C43" s="808"/>
      <c r="D43" s="757"/>
      <c r="E43" s="757"/>
      <c r="F43" s="769"/>
      <c r="G43" s="752"/>
      <c r="H43" s="802"/>
      <c r="I43" s="268">
        <v>8</v>
      </c>
      <c r="J43" s="273" t="s">
        <v>471</v>
      </c>
      <c r="K43" s="268">
        <v>80061386</v>
      </c>
      <c r="L43" s="268"/>
      <c r="M43" s="268"/>
      <c r="N43" s="389" t="s">
        <v>472</v>
      </c>
      <c r="O43" s="389"/>
      <c r="P43" s="266"/>
      <c r="Q43" s="386"/>
      <c r="R43" s="387">
        <f t="shared" si="2"/>
        <v>0</v>
      </c>
      <c r="S43" s="387"/>
      <c r="T43" s="386"/>
      <c r="U43" s="387">
        <f t="shared" si="3"/>
        <v>0</v>
      </c>
      <c r="V43" s="266"/>
      <c r="W43" s="386"/>
      <c r="X43" s="387">
        <f t="shared" si="4"/>
        <v>0</v>
      </c>
      <c r="Y43" s="266"/>
      <c r="Z43" s="386"/>
      <c r="AA43" s="387">
        <f t="shared" si="5"/>
        <v>0</v>
      </c>
      <c r="AB43" s="266"/>
      <c r="AC43" s="386"/>
      <c r="AD43" s="387">
        <f t="shared" si="6"/>
        <v>0</v>
      </c>
      <c r="AE43" s="266"/>
      <c r="AF43" s="386"/>
      <c r="AG43" s="387">
        <f t="shared" si="7"/>
        <v>0</v>
      </c>
      <c r="AH43" s="266"/>
      <c r="AI43" s="386"/>
      <c r="AJ43" s="387">
        <f t="shared" si="8"/>
        <v>0</v>
      </c>
      <c r="AK43" s="266"/>
      <c r="AL43" s="386"/>
      <c r="AM43" s="387">
        <f t="shared" si="9"/>
        <v>0</v>
      </c>
      <c r="AN43" s="388">
        <f t="shared" si="0"/>
        <v>0</v>
      </c>
      <c r="AO43" s="386">
        <f t="shared" si="1"/>
        <v>0</v>
      </c>
      <c r="AP43" s="751"/>
      <c r="AQ43" s="752"/>
      <c r="AR43" s="754"/>
      <c r="AS43" s="756"/>
    </row>
    <row r="44" spans="1:45">
      <c r="A44" s="797"/>
      <c r="B44" s="797"/>
      <c r="C44" s="808"/>
      <c r="D44" s="757"/>
      <c r="E44" s="757"/>
      <c r="F44" s="769"/>
      <c r="G44" s="752"/>
      <c r="H44" s="802"/>
      <c r="I44" s="268">
        <v>9</v>
      </c>
      <c r="J44" s="273" t="s">
        <v>473</v>
      </c>
      <c r="K44" s="268">
        <v>1020734454</v>
      </c>
      <c r="L44" s="268"/>
      <c r="M44" s="268"/>
      <c r="N44" s="389" t="s">
        <v>183</v>
      </c>
      <c r="O44" s="389"/>
      <c r="P44" s="266"/>
      <c r="Q44" s="386"/>
      <c r="R44" s="387">
        <f t="shared" si="2"/>
        <v>0</v>
      </c>
      <c r="S44" s="387"/>
      <c r="T44" s="386"/>
      <c r="U44" s="387">
        <f t="shared" si="3"/>
        <v>0</v>
      </c>
      <c r="V44" s="266"/>
      <c r="W44" s="386"/>
      <c r="X44" s="387">
        <f t="shared" si="4"/>
        <v>0</v>
      </c>
      <c r="Y44" s="266"/>
      <c r="Z44" s="386"/>
      <c r="AA44" s="387">
        <f t="shared" si="5"/>
        <v>0</v>
      </c>
      <c r="AB44" s="266"/>
      <c r="AC44" s="386"/>
      <c r="AD44" s="387">
        <f t="shared" si="6"/>
        <v>0</v>
      </c>
      <c r="AE44" s="266"/>
      <c r="AF44" s="386"/>
      <c r="AG44" s="387">
        <f t="shared" si="7"/>
        <v>0</v>
      </c>
      <c r="AH44" s="266"/>
      <c r="AI44" s="386"/>
      <c r="AJ44" s="387">
        <f t="shared" si="8"/>
        <v>0</v>
      </c>
      <c r="AK44" s="266"/>
      <c r="AL44" s="386"/>
      <c r="AM44" s="387">
        <f t="shared" si="9"/>
        <v>0</v>
      </c>
      <c r="AN44" s="388">
        <f t="shared" si="0"/>
        <v>0</v>
      </c>
      <c r="AO44" s="386">
        <f t="shared" si="1"/>
        <v>0</v>
      </c>
      <c r="AP44" s="751"/>
      <c r="AQ44" s="752"/>
      <c r="AR44" s="754"/>
      <c r="AS44" s="756"/>
    </row>
    <row r="45" spans="1:45" ht="11.25" customHeight="1">
      <c r="A45" s="806"/>
      <c r="B45" s="797"/>
      <c r="C45" s="808"/>
      <c r="D45" s="757"/>
      <c r="E45" s="674"/>
      <c r="F45" s="763"/>
      <c r="G45" s="755"/>
      <c r="H45" s="803"/>
      <c r="I45" s="268">
        <v>10</v>
      </c>
      <c r="J45" s="273"/>
      <c r="K45" s="268"/>
      <c r="L45" s="268"/>
      <c r="M45" s="268"/>
      <c r="N45" s="389"/>
      <c r="O45" s="389"/>
      <c r="P45" s="266"/>
      <c r="Q45" s="386"/>
      <c r="R45" s="387">
        <f t="shared" si="2"/>
        <v>0</v>
      </c>
      <c r="S45" s="387"/>
      <c r="T45" s="386"/>
      <c r="U45" s="387">
        <f t="shared" si="3"/>
        <v>0</v>
      </c>
      <c r="V45" s="266"/>
      <c r="W45" s="386"/>
      <c r="X45" s="387">
        <f t="shared" si="4"/>
        <v>0</v>
      </c>
      <c r="Y45" s="266"/>
      <c r="Z45" s="386"/>
      <c r="AA45" s="387">
        <f t="shared" si="5"/>
        <v>0</v>
      </c>
      <c r="AB45" s="266"/>
      <c r="AC45" s="386"/>
      <c r="AD45" s="387">
        <f t="shared" si="6"/>
        <v>0</v>
      </c>
      <c r="AE45" s="266"/>
      <c r="AF45" s="386"/>
      <c r="AG45" s="387">
        <f t="shared" si="7"/>
        <v>0</v>
      </c>
      <c r="AH45" s="266"/>
      <c r="AI45" s="386"/>
      <c r="AJ45" s="387">
        <f t="shared" si="8"/>
        <v>0</v>
      </c>
      <c r="AK45" s="266"/>
      <c r="AL45" s="386"/>
      <c r="AM45" s="387">
        <f t="shared" si="9"/>
        <v>0</v>
      </c>
      <c r="AN45" s="388">
        <f t="shared" si="0"/>
        <v>0</v>
      </c>
      <c r="AO45" s="386">
        <f t="shared" si="1"/>
        <v>0</v>
      </c>
      <c r="AP45" s="753"/>
      <c r="AQ45" s="755"/>
      <c r="AR45" s="765"/>
      <c r="AS45" s="766"/>
    </row>
    <row r="46" spans="1:45">
      <c r="A46" s="794" t="s">
        <v>180</v>
      </c>
      <c r="B46" s="778" t="s">
        <v>181</v>
      </c>
      <c r="C46" s="778" t="s">
        <v>182</v>
      </c>
      <c r="D46" s="674">
        <v>818</v>
      </c>
      <c r="E46" s="674">
        <v>10</v>
      </c>
      <c r="F46" s="763">
        <v>175634</v>
      </c>
      <c r="G46" s="755">
        <f>F46*D46</f>
        <v>143668612</v>
      </c>
      <c r="H46" s="859">
        <f>D46/E46</f>
        <v>81.8</v>
      </c>
      <c r="I46" s="862">
        <v>10</v>
      </c>
      <c r="J46" s="273" t="s">
        <v>492</v>
      </c>
      <c r="K46" s="268">
        <v>80827768</v>
      </c>
      <c r="L46" s="268"/>
      <c r="M46" s="268"/>
      <c r="N46" s="389" t="s">
        <v>183</v>
      </c>
      <c r="O46" s="389"/>
      <c r="P46" s="266"/>
      <c r="Q46" s="386"/>
      <c r="R46" s="387">
        <f t="shared" si="2"/>
        <v>0</v>
      </c>
      <c r="S46" s="387"/>
      <c r="T46" s="386"/>
      <c r="U46" s="387">
        <f t="shared" si="3"/>
        <v>0</v>
      </c>
      <c r="V46" s="266"/>
      <c r="W46" s="386"/>
      <c r="X46" s="387">
        <f t="shared" si="4"/>
        <v>0</v>
      </c>
      <c r="Y46" s="266"/>
      <c r="Z46" s="386"/>
      <c r="AA46" s="387">
        <f t="shared" si="5"/>
        <v>0</v>
      </c>
      <c r="AB46" s="266"/>
      <c r="AC46" s="386"/>
      <c r="AD46" s="387">
        <f t="shared" si="6"/>
        <v>0</v>
      </c>
      <c r="AE46" s="266"/>
      <c r="AF46" s="386"/>
      <c r="AG46" s="387">
        <f t="shared" si="7"/>
        <v>0</v>
      </c>
      <c r="AH46" s="266"/>
      <c r="AI46" s="386"/>
      <c r="AJ46" s="387">
        <f t="shared" si="8"/>
        <v>0</v>
      </c>
      <c r="AK46" s="266"/>
      <c r="AL46" s="386"/>
      <c r="AM46" s="387">
        <f t="shared" si="9"/>
        <v>0</v>
      </c>
      <c r="AN46" s="388">
        <f>AK46+AH46+AE46+AB46+Y46+V46+S46+P46</f>
        <v>0</v>
      </c>
      <c r="AO46" s="386">
        <f t="shared" si="1"/>
        <v>0</v>
      </c>
      <c r="AP46" s="753">
        <f>AN46+AN47+AN48+AN49+AN50</f>
        <v>0</v>
      </c>
      <c r="AQ46" s="755">
        <f>AO46+AO47+AO48+AO49+AO50</f>
        <v>0</v>
      </c>
      <c r="AR46" s="753">
        <f>AP46-D46</f>
        <v>-818</v>
      </c>
      <c r="AS46" s="755">
        <f t="shared" ref="AS46" si="14">AQ46-G46</f>
        <v>-143668612</v>
      </c>
    </row>
    <row r="47" spans="1:45">
      <c r="A47" s="795"/>
      <c r="B47" s="779"/>
      <c r="C47" s="779"/>
      <c r="D47" s="791"/>
      <c r="E47" s="791"/>
      <c r="F47" s="852"/>
      <c r="G47" s="756"/>
      <c r="H47" s="860"/>
      <c r="I47" s="863"/>
      <c r="J47" s="273" t="s">
        <v>497</v>
      </c>
      <c r="K47" s="268">
        <v>1032390061</v>
      </c>
      <c r="L47" s="268"/>
      <c r="M47" s="268"/>
      <c r="N47" s="389" t="s">
        <v>183</v>
      </c>
      <c r="O47" s="389"/>
      <c r="P47" s="266"/>
      <c r="Q47" s="386"/>
      <c r="R47" s="387">
        <f t="shared" si="2"/>
        <v>0</v>
      </c>
      <c r="S47" s="387"/>
      <c r="T47" s="386"/>
      <c r="U47" s="387">
        <f t="shared" si="3"/>
        <v>0</v>
      </c>
      <c r="V47" s="266"/>
      <c r="W47" s="386"/>
      <c r="X47" s="387">
        <f t="shared" si="4"/>
        <v>0</v>
      </c>
      <c r="Y47" s="266"/>
      <c r="Z47" s="386"/>
      <c r="AA47" s="387">
        <f t="shared" si="5"/>
        <v>0</v>
      </c>
      <c r="AB47" s="266"/>
      <c r="AC47" s="386"/>
      <c r="AD47" s="387">
        <f t="shared" si="6"/>
        <v>0</v>
      </c>
      <c r="AE47" s="266"/>
      <c r="AF47" s="386"/>
      <c r="AG47" s="387">
        <f t="shared" si="7"/>
        <v>0</v>
      </c>
      <c r="AH47" s="266"/>
      <c r="AI47" s="386"/>
      <c r="AJ47" s="387">
        <f t="shared" si="8"/>
        <v>0</v>
      </c>
      <c r="AK47" s="266"/>
      <c r="AL47" s="386"/>
      <c r="AM47" s="387">
        <f t="shared" si="9"/>
        <v>0</v>
      </c>
      <c r="AN47" s="388">
        <f t="shared" ref="AN47:AN50" si="15">AK47+AH47+AE47+AB47+Y47+V47+S47+P47</f>
        <v>0</v>
      </c>
      <c r="AO47" s="386">
        <f t="shared" si="1"/>
        <v>0</v>
      </c>
      <c r="AP47" s="754"/>
      <c r="AQ47" s="756"/>
      <c r="AR47" s="754"/>
      <c r="AS47" s="756"/>
    </row>
    <row r="48" spans="1:45">
      <c r="A48" s="795"/>
      <c r="B48" s="779"/>
      <c r="C48" s="779"/>
      <c r="D48" s="791"/>
      <c r="E48" s="791"/>
      <c r="F48" s="852"/>
      <c r="G48" s="756"/>
      <c r="H48" s="860"/>
      <c r="I48" s="863"/>
      <c r="J48" s="273" t="s">
        <v>523</v>
      </c>
      <c r="K48" s="268"/>
      <c r="L48" s="268"/>
      <c r="M48" s="268"/>
      <c r="N48" s="389" t="s">
        <v>183</v>
      </c>
      <c r="O48" s="389"/>
      <c r="P48" s="266"/>
      <c r="Q48" s="386"/>
      <c r="R48" s="387">
        <f t="shared" si="2"/>
        <v>0</v>
      </c>
      <c r="S48" s="387"/>
      <c r="T48" s="386"/>
      <c r="U48" s="387">
        <f t="shared" si="3"/>
        <v>0</v>
      </c>
      <c r="V48" s="266"/>
      <c r="W48" s="386"/>
      <c r="X48" s="387">
        <f t="shared" si="4"/>
        <v>0</v>
      </c>
      <c r="Y48" s="266"/>
      <c r="Z48" s="386"/>
      <c r="AA48" s="387">
        <f t="shared" si="5"/>
        <v>0</v>
      </c>
      <c r="AB48" s="266"/>
      <c r="AC48" s="386"/>
      <c r="AD48" s="387">
        <f t="shared" si="6"/>
        <v>0</v>
      </c>
      <c r="AE48" s="266"/>
      <c r="AF48" s="386"/>
      <c r="AG48" s="387">
        <f t="shared" si="7"/>
        <v>0</v>
      </c>
      <c r="AH48" s="266"/>
      <c r="AI48" s="386"/>
      <c r="AJ48" s="387">
        <f t="shared" si="8"/>
        <v>0</v>
      </c>
      <c r="AK48" s="266"/>
      <c r="AL48" s="386"/>
      <c r="AM48" s="387">
        <f t="shared" si="9"/>
        <v>0</v>
      </c>
      <c r="AN48" s="388">
        <f t="shared" si="15"/>
        <v>0</v>
      </c>
      <c r="AO48" s="386">
        <f t="shared" si="1"/>
        <v>0</v>
      </c>
      <c r="AP48" s="754"/>
      <c r="AQ48" s="756"/>
      <c r="AR48" s="754"/>
      <c r="AS48" s="756"/>
    </row>
    <row r="49" spans="1:45">
      <c r="A49" s="795"/>
      <c r="B49" s="779"/>
      <c r="C49" s="779"/>
      <c r="D49" s="791"/>
      <c r="E49" s="791"/>
      <c r="F49" s="852"/>
      <c r="G49" s="756"/>
      <c r="H49" s="860"/>
      <c r="I49" s="863"/>
      <c r="J49" s="273" t="s">
        <v>524</v>
      </c>
      <c r="K49" s="268">
        <v>80827644</v>
      </c>
      <c r="L49" s="268"/>
      <c r="M49" s="268"/>
      <c r="N49" s="389" t="s">
        <v>183</v>
      </c>
      <c r="O49" s="389"/>
      <c r="P49" s="266"/>
      <c r="Q49" s="386"/>
      <c r="R49" s="387">
        <f t="shared" si="2"/>
        <v>0</v>
      </c>
      <c r="S49" s="387"/>
      <c r="T49" s="386"/>
      <c r="U49" s="387">
        <f t="shared" si="3"/>
        <v>0</v>
      </c>
      <c r="V49" s="266"/>
      <c r="W49" s="386"/>
      <c r="X49" s="387">
        <f t="shared" si="4"/>
        <v>0</v>
      </c>
      <c r="Y49" s="266"/>
      <c r="Z49" s="386"/>
      <c r="AA49" s="387">
        <f t="shared" si="5"/>
        <v>0</v>
      </c>
      <c r="AB49" s="266"/>
      <c r="AC49" s="386"/>
      <c r="AD49" s="387">
        <f t="shared" si="6"/>
        <v>0</v>
      </c>
      <c r="AE49" s="266"/>
      <c r="AF49" s="386"/>
      <c r="AG49" s="387">
        <f t="shared" si="7"/>
        <v>0</v>
      </c>
      <c r="AH49" s="266"/>
      <c r="AI49" s="386"/>
      <c r="AJ49" s="387">
        <f t="shared" si="8"/>
        <v>0</v>
      </c>
      <c r="AK49" s="266"/>
      <c r="AL49" s="386"/>
      <c r="AM49" s="387">
        <f t="shared" si="9"/>
        <v>0</v>
      </c>
      <c r="AN49" s="388">
        <f t="shared" si="15"/>
        <v>0</v>
      </c>
      <c r="AO49" s="386">
        <f t="shared" si="1"/>
        <v>0</v>
      </c>
      <c r="AP49" s="754"/>
      <c r="AQ49" s="756"/>
      <c r="AR49" s="754"/>
      <c r="AS49" s="756"/>
    </row>
    <row r="50" spans="1:45">
      <c r="A50" s="795"/>
      <c r="B50" s="779"/>
      <c r="C50" s="779"/>
      <c r="D50" s="791"/>
      <c r="E50" s="791"/>
      <c r="F50" s="852"/>
      <c r="G50" s="766"/>
      <c r="H50" s="861"/>
      <c r="I50" s="864"/>
      <c r="J50" s="273" t="s">
        <v>525</v>
      </c>
      <c r="K50" s="268">
        <v>1013611156</v>
      </c>
      <c r="L50" s="268"/>
      <c r="M50" s="268"/>
      <c r="N50" s="389" t="s">
        <v>183</v>
      </c>
      <c r="O50" s="389"/>
      <c r="P50" s="266"/>
      <c r="Q50" s="386"/>
      <c r="R50" s="387">
        <f t="shared" si="2"/>
        <v>0</v>
      </c>
      <c r="S50" s="387"/>
      <c r="T50" s="386"/>
      <c r="U50" s="387">
        <f t="shared" si="3"/>
        <v>0</v>
      </c>
      <c r="V50" s="266"/>
      <c r="W50" s="386"/>
      <c r="X50" s="387">
        <f t="shared" si="4"/>
        <v>0</v>
      </c>
      <c r="Y50" s="266"/>
      <c r="Z50" s="386"/>
      <c r="AA50" s="387">
        <f t="shared" si="5"/>
        <v>0</v>
      </c>
      <c r="AB50" s="266"/>
      <c r="AC50" s="386"/>
      <c r="AD50" s="387">
        <f t="shared" si="6"/>
        <v>0</v>
      </c>
      <c r="AE50" s="266"/>
      <c r="AF50" s="386"/>
      <c r="AG50" s="387">
        <f t="shared" si="7"/>
        <v>0</v>
      </c>
      <c r="AH50" s="266"/>
      <c r="AI50" s="386"/>
      <c r="AJ50" s="387">
        <f t="shared" si="8"/>
        <v>0</v>
      </c>
      <c r="AK50" s="266"/>
      <c r="AL50" s="386"/>
      <c r="AM50" s="387">
        <f t="shared" si="9"/>
        <v>0</v>
      </c>
      <c r="AN50" s="388">
        <f t="shared" si="15"/>
        <v>0</v>
      </c>
      <c r="AO50" s="386">
        <f t="shared" si="1"/>
        <v>0</v>
      </c>
      <c r="AP50" s="765"/>
      <c r="AQ50" s="766"/>
      <c r="AR50" s="765"/>
      <c r="AS50" s="766"/>
    </row>
    <row r="51" spans="1:45" ht="20.25">
      <c r="A51" s="795"/>
      <c r="B51" s="771" t="s">
        <v>187</v>
      </c>
      <c r="C51" s="771" t="s">
        <v>188</v>
      </c>
      <c r="D51" s="757">
        <v>765</v>
      </c>
      <c r="E51" s="757">
        <v>9</v>
      </c>
      <c r="F51" s="769">
        <v>175634</v>
      </c>
      <c r="G51" s="865">
        <f>F51*D51</f>
        <v>134360010</v>
      </c>
      <c r="H51" s="859">
        <f>D51/E51</f>
        <v>85</v>
      </c>
      <c r="I51" s="862">
        <v>9</v>
      </c>
      <c r="J51" s="273" t="s">
        <v>490</v>
      </c>
      <c r="K51" s="268">
        <v>79963189</v>
      </c>
      <c r="L51" s="268" t="s">
        <v>526</v>
      </c>
      <c r="M51" s="268"/>
      <c r="N51" s="389" t="s">
        <v>189</v>
      </c>
      <c r="O51" s="389"/>
      <c r="P51" s="266"/>
      <c r="Q51" s="386"/>
      <c r="R51" s="387">
        <f t="shared" si="2"/>
        <v>0</v>
      </c>
      <c r="S51" s="387"/>
      <c r="T51" s="386"/>
      <c r="U51" s="387">
        <f t="shared" si="3"/>
        <v>0</v>
      </c>
      <c r="V51" s="266"/>
      <c r="W51" s="386"/>
      <c r="X51" s="387">
        <f t="shared" si="4"/>
        <v>0</v>
      </c>
      <c r="Y51" s="266"/>
      <c r="Z51" s="386"/>
      <c r="AA51" s="387">
        <f t="shared" si="5"/>
        <v>0</v>
      </c>
      <c r="AB51" s="266"/>
      <c r="AC51" s="386"/>
      <c r="AD51" s="387">
        <f t="shared" si="6"/>
        <v>0</v>
      </c>
      <c r="AE51" s="266"/>
      <c r="AF51" s="386"/>
      <c r="AG51" s="387">
        <f t="shared" si="7"/>
        <v>0</v>
      </c>
      <c r="AH51" s="266"/>
      <c r="AI51" s="386"/>
      <c r="AJ51" s="387">
        <f t="shared" si="8"/>
        <v>0</v>
      </c>
      <c r="AK51" s="266"/>
      <c r="AL51" s="386"/>
      <c r="AM51" s="387">
        <f t="shared" si="9"/>
        <v>0</v>
      </c>
      <c r="AN51" s="388">
        <f>AK51+AH51+AE51+AB51+Y51+V51+S51+P51</f>
        <v>0</v>
      </c>
      <c r="AO51" s="386">
        <f t="shared" si="1"/>
        <v>0</v>
      </c>
      <c r="AP51" s="753">
        <f>AN51+AN52+AN53</f>
        <v>0</v>
      </c>
      <c r="AQ51" s="755">
        <f>AO51+AO52+AO53</f>
        <v>0</v>
      </c>
      <c r="AR51" s="753">
        <f>AP51-D51</f>
        <v>-765</v>
      </c>
      <c r="AS51" s="755">
        <f t="shared" ref="AS51" si="16">AQ51-G51</f>
        <v>-134360010</v>
      </c>
    </row>
    <row r="52" spans="1:45" ht="20.25">
      <c r="A52" s="795"/>
      <c r="B52" s="771"/>
      <c r="C52" s="771"/>
      <c r="D52" s="757"/>
      <c r="E52" s="757"/>
      <c r="F52" s="769"/>
      <c r="G52" s="866"/>
      <c r="H52" s="860"/>
      <c r="I52" s="863"/>
      <c r="J52" s="559" t="s">
        <v>491</v>
      </c>
      <c r="K52" s="549">
        <v>19421737</v>
      </c>
      <c r="L52" s="549" t="s">
        <v>527</v>
      </c>
      <c r="M52" s="549"/>
      <c r="N52" s="560" t="s">
        <v>189</v>
      </c>
      <c r="O52" s="560"/>
      <c r="P52" s="561"/>
      <c r="Q52" s="562"/>
      <c r="R52" s="563"/>
      <c r="S52" s="563"/>
      <c r="T52" s="562"/>
      <c r="U52" s="563"/>
      <c r="V52" s="561"/>
      <c r="W52" s="562"/>
      <c r="X52" s="563"/>
      <c r="Y52" s="561"/>
      <c r="Z52" s="562"/>
      <c r="AA52" s="563"/>
      <c r="AB52" s="561"/>
      <c r="AC52" s="562"/>
      <c r="AD52" s="563"/>
      <c r="AE52" s="561"/>
      <c r="AF52" s="562"/>
      <c r="AG52" s="563"/>
      <c r="AH52" s="561"/>
      <c r="AI52" s="562"/>
      <c r="AJ52" s="387">
        <f t="shared" si="8"/>
        <v>0</v>
      </c>
      <c r="AK52" s="561"/>
      <c r="AL52" s="562"/>
      <c r="AM52" s="563"/>
      <c r="AN52" s="388">
        <f t="shared" ref="AN52:AN53" si="17">AK52+AH52+AE52+AB52+Y52+V52+S52+P52</f>
        <v>0</v>
      </c>
      <c r="AO52" s="386">
        <f t="shared" si="1"/>
        <v>0</v>
      </c>
      <c r="AP52" s="754"/>
      <c r="AQ52" s="756"/>
      <c r="AR52" s="754"/>
      <c r="AS52" s="756"/>
    </row>
    <row r="53" spans="1:45" ht="20.25">
      <c r="A53" s="795"/>
      <c r="B53" s="771"/>
      <c r="C53" s="771"/>
      <c r="D53" s="757"/>
      <c r="E53" s="757"/>
      <c r="F53" s="769"/>
      <c r="G53" s="867"/>
      <c r="H53" s="861"/>
      <c r="I53" s="864"/>
      <c r="J53" s="559" t="s">
        <v>528</v>
      </c>
      <c r="K53" s="549">
        <v>79659378</v>
      </c>
      <c r="L53" s="549" t="s">
        <v>529</v>
      </c>
      <c r="M53" s="549"/>
      <c r="N53" s="560" t="s">
        <v>189</v>
      </c>
      <c r="O53" s="560"/>
      <c r="P53" s="561"/>
      <c r="Q53" s="562"/>
      <c r="R53" s="563"/>
      <c r="S53" s="563"/>
      <c r="T53" s="562"/>
      <c r="U53" s="563"/>
      <c r="V53" s="561"/>
      <c r="W53" s="562"/>
      <c r="X53" s="563"/>
      <c r="Y53" s="561"/>
      <c r="Z53" s="562"/>
      <c r="AA53" s="563"/>
      <c r="AB53" s="561"/>
      <c r="AC53" s="562"/>
      <c r="AD53" s="563"/>
      <c r="AE53" s="561"/>
      <c r="AF53" s="562"/>
      <c r="AG53" s="563"/>
      <c r="AH53" s="561"/>
      <c r="AI53" s="562"/>
      <c r="AJ53" s="387">
        <f t="shared" si="8"/>
        <v>0</v>
      </c>
      <c r="AK53" s="561"/>
      <c r="AL53" s="562"/>
      <c r="AM53" s="563"/>
      <c r="AN53" s="388">
        <f t="shared" si="17"/>
        <v>0</v>
      </c>
      <c r="AO53" s="386">
        <f t="shared" si="1"/>
        <v>0</v>
      </c>
      <c r="AP53" s="765"/>
      <c r="AQ53" s="766"/>
      <c r="AR53" s="765"/>
      <c r="AS53" s="766"/>
    </row>
    <row r="54" spans="1:45" ht="11.25" customHeight="1">
      <c r="A54" s="795"/>
      <c r="B54" s="757" t="s">
        <v>66</v>
      </c>
      <c r="C54" s="778" t="s">
        <v>193</v>
      </c>
      <c r="D54" s="775">
        <f>200+40</f>
        <v>240</v>
      </c>
      <c r="E54" s="771">
        <v>3</v>
      </c>
      <c r="F54" s="769">
        <v>175634</v>
      </c>
      <c r="G54" s="752">
        <f>F54*D54</f>
        <v>42152160</v>
      </c>
      <c r="H54" s="782">
        <f>D54/E54</f>
        <v>80</v>
      </c>
      <c r="I54" s="269">
        <v>1</v>
      </c>
      <c r="J54" s="273" t="s">
        <v>475</v>
      </c>
      <c r="K54" s="269">
        <v>1015404914</v>
      </c>
      <c r="L54" s="269" t="s">
        <v>530</v>
      </c>
      <c r="M54" s="269"/>
      <c r="N54" s="274" t="s">
        <v>531</v>
      </c>
      <c r="O54" s="564"/>
      <c r="P54" s="396"/>
      <c r="Q54" s="386"/>
      <c r="R54" s="387">
        <f t="shared" si="2"/>
        <v>0</v>
      </c>
      <c r="S54" s="387"/>
      <c r="T54" s="386"/>
      <c r="U54" s="387">
        <f t="shared" si="3"/>
        <v>0</v>
      </c>
      <c r="V54" s="266"/>
      <c r="W54" s="386"/>
      <c r="X54" s="387">
        <f t="shared" si="4"/>
        <v>0</v>
      </c>
      <c r="Y54" s="266"/>
      <c r="Z54" s="386"/>
      <c r="AA54" s="387">
        <f t="shared" si="5"/>
        <v>0</v>
      </c>
      <c r="AB54" s="266"/>
      <c r="AC54" s="386"/>
      <c r="AD54" s="387">
        <f t="shared" si="6"/>
        <v>0</v>
      </c>
      <c r="AE54" s="266"/>
      <c r="AF54" s="386"/>
      <c r="AG54" s="387">
        <f t="shared" si="7"/>
        <v>0</v>
      </c>
      <c r="AH54" s="266"/>
      <c r="AI54" s="386"/>
      <c r="AJ54" s="387">
        <f t="shared" si="8"/>
        <v>0</v>
      </c>
      <c r="AK54" s="266"/>
      <c r="AL54" s="386"/>
      <c r="AM54" s="387">
        <f>AK54*AL54</f>
        <v>0</v>
      </c>
      <c r="AN54" s="388">
        <f t="shared" si="0"/>
        <v>0</v>
      </c>
      <c r="AO54" s="386">
        <f t="shared" si="1"/>
        <v>0</v>
      </c>
      <c r="AP54" s="751">
        <f>SUM(AN54:AN58)</f>
        <v>0</v>
      </c>
      <c r="AQ54" s="752">
        <f>SUM(AO54:AO58)</f>
        <v>0</v>
      </c>
      <c r="AR54" s="753">
        <f t="shared" ref="AR54" si="18">AP54-D54</f>
        <v>-240</v>
      </c>
      <c r="AS54" s="755">
        <f>AQ54-G54</f>
        <v>-42152160</v>
      </c>
    </row>
    <row r="55" spans="1:45" ht="11.25" customHeight="1">
      <c r="A55" s="795"/>
      <c r="B55" s="757"/>
      <c r="C55" s="779"/>
      <c r="D55" s="773"/>
      <c r="E55" s="771"/>
      <c r="F55" s="769"/>
      <c r="G55" s="752"/>
      <c r="H55" s="783"/>
      <c r="I55" s="269">
        <v>2</v>
      </c>
      <c r="J55" s="273" t="s">
        <v>476</v>
      </c>
      <c r="K55" s="269">
        <v>29676315</v>
      </c>
      <c r="L55" s="269" t="s">
        <v>532</v>
      </c>
      <c r="M55" s="269"/>
      <c r="N55" s="274" t="s">
        <v>531</v>
      </c>
      <c r="O55" s="564"/>
      <c r="P55" s="396"/>
      <c r="Q55" s="386"/>
      <c r="R55" s="387"/>
      <c r="S55" s="387"/>
      <c r="T55" s="386"/>
      <c r="U55" s="387"/>
      <c r="V55" s="266"/>
      <c r="W55" s="386"/>
      <c r="X55" s="387"/>
      <c r="Y55" s="266"/>
      <c r="Z55" s="386"/>
      <c r="AA55" s="387"/>
      <c r="AB55" s="266"/>
      <c r="AC55" s="386"/>
      <c r="AD55" s="387"/>
      <c r="AE55" s="266"/>
      <c r="AF55" s="386"/>
      <c r="AG55" s="387"/>
      <c r="AH55" s="266"/>
      <c r="AI55" s="386"/>
      <c r="AJ55" s="387"/>
      <c r="AK55" s="266"/>
      <c r="AL55" s="386"/>
      <c r="AM55" s="387"/>
      <c r="AN55" s="388"/>
      <c r="AO55" s="386"/>
      <c r="AP55" s="751"/>
      <c r="AQ55" s="752"/>
      <c r="AR55" s="754"/>
      <c r="AS55" s="756"/>
    </row>
    <row r="56" spans="1:45" ht="11.25" customHeight="1">
      <c r="A56" s="795"/>
      <c r="B56" s="757"/>
      <c r="C56" s="779"/>
      <c r="D56" s="773"/>
      <c r="E56" s="771"/>
      <c r="F56" s="769"/>
      <c r="G56" s="752"/>
      <c r="H56" s="783"/>
      <c r="I56" s="269">
        <v>3</v>
      </c>
      <c r="J56" s="273" t="s">
        <v>533</v>
      </c>
      <c r="K56" s="269">
        <v>1014181952</v>
      </c>
      <c r="L56" s="269" t="s">
        <v>534</v>
      </c>
      <c r="M56" s="269"/>
      <c r="N56" s="274" t="s">
        <v>535</v>
      </c>
      <c r="O56" s="564"/>
      <c r="P56" s="396"/>
      <c r="Q56" s="386"/>
      <c r="R56" s="387"/>
      <c r="S56" s="387"/>
      <c r="T56" s="386"/>
      <c r="U56" s="387"/>
      <c r="V56" s="266"/>
      <c r="W56" s="386"/>
      <c r="X56" s="387"/>
      <c r="Y56" s="266"/>
      <c r="Z56" s="386"/>
      <c r="AA56" s="387"/>
      <c r="AB56" s="266"/>
      <c r="AC56" s="386"/>
      <c r="AD56" s="387"/>
      <c r="AE56" s="266"/>
      <c r="AF56" s="386"/>
      <c r="AG56" s="387"/>
      <c r="AH56" s="266"/>
      <c r="AI56" s="386"/>
      <c r="AJ56" s="387"/>
      <c r="AK56" s="266"/>
      <c r="AL56" s="386"/>
      <c r="AM56" s="387"/>
      <c r="AN56" s="388"/>
      <c r="AO56" s="386"/>
      <c r="AP56" s="751"/>
      <c r="AQ56" s="752"/>
      <c r="AR56" s="754"/>
      <c r="AS56" s="756"/>
    </row>
    <row r="57" spans="1:45">
      <c r="A57" s="795"/>
      <c r="B57" s="757"/>
      <c r="C57" s="779"/>
      <c r="D57" s="773"/>
      <c r="E57" s="771"/>
      <c r="F57" s="769"/>
      <c r="G57" s="752"/>
      <c r="H57" s="783"/>
      <c r="I57" s="269">
        <v>4</v>
      </c>
      <c r="J57" s="397" t="s">
        <v>474</v>
      </c>
      <c r="K57" s="269">
        <v>1032402973</v>
      </c>
      <c r="L57" s="269" t="s">
        <v>536</v>
      </c>
      <c r="M57" s="269"/>
      <c r="N57" s="274" t="s">
        <v>531</v>
      </c>
      <c r="O57" s="564"/>
      <c r="P57" s="396"/>
      <c r="Q57" s="386"/>
      <c r="R57" s="387">
        <f t="shared" si="2"/>
        <v>0</v>
      </c>
      <c r="S57" s="387"/>
      <c r="T57" s="386"/>
      <c r="U57" s="387">
        <f t="shared" si="3"/>
        <v>0</v>
      </c>
      <c r="V57" s="266"/>
      <c r="W57" s="386"/>
      <c r="X57" s="387">
        <f t="shared" si="4"/>
        <v>0</v>
      </c>
      <c r="Y57" s="266"/>
      <c r="Z57" s="386"/>
      <c r="AA57" s="387">
        <f t="shared" si="5"/>
        <v>0</v>
      </c>
      <c r="AB57" s="266"/>
      <c r="AC57" s="386"/>
      <c r="AD57" s="387">
        <f t="shared" si="6"/>
        <v>0</v>
      </c>
      <c r="AE57" s="266"/>
      <c r="AF57" s="386"/>
      <c r="AG57" s="387">
        <f t="shared" si="7"/>
        <v>0</v>
      </c>
      <c r="AH57" s="266"/>
      <c r="AI57" s="386"/>
      <c r="AJ57" s="387">
        <f t="shared" si="8"/>
        <v>0</v>
      </c>
      <c r="AK57" s="266"/>
      <c r="AL57" s="386"/>
      <c r="AM57" s="387">
        <f t="shared" si="9"/>
        <v>0</v>
      </c>
      <c r="AN57" s="388">
        <f t="shared" si="0"/>
        <v>0</v>
      </c>
      <c r="AO57" s="386">
        <f t="shared" si="1"/>
        <v>0</v>
      </c>
      <c r="AP57" s="751"/>
      <c r="AQ57" s="752"/>
      <c r="AR57" s="754"/>
      <c r="AS57" s="756"/>
    </row>
    <row r="58" spans="1:45" ht="20.25">
      <c r="A58" s="795"/>
      <c r="B58" s="757"/>
      <c r="C58" s="770"/>
      <c r="D58" s="780"/>
      <c r="E58" s="771"/>
      <c r="F58" s="769"/>
      <c r="G58" s="752"/>
      <c r="H58" s="784"/>
      <c r="I58" s="269">
        <v>5</v>
      </c>
      <c r="J58" s="397" t="s">
        <v>537</v>
      </c>
      <c r="K58" s="269">
        <v>1010198418</v>
      </c>
      <c r="L58" s="269"/>
      <c r="M58" s="269"/>
      <c r="N58" s="274" t="s">
        <v>535</v>
      </c>
      <c r="O58" s="564"/>
      <c r="P58" s="396"/>
      <c r="Q58" s="386"/>
      <c r="R58" s="387">
        <f t="shared" si="2"/>
        <v>0</v>
      </c>
      <c r="S58" s="387"/>
      <c r="T58" s="386"/>
      <c r="U58" s="387">
        <f t="shared" si="3"/>
        <v>0</v>
      </c>
      <c r="V58" s="266"/>
      <c r="W58" s="386"/>
      <c r="X58" s="387">
        <f t="shared" si="4"/>
        <v>0</v>
      </c>
      <c r="Y58" s="266"/>
      <c r="Z58" s="386"/>
      <c r="AA58" s="387">
        <f t="shared" si="5"/>
        <v>0</v>
      </c>
      <c r="AB58" s="266"/>
      <c r="AC58" s="386"/>
      <c r="AD58" s="387">
        <f t="shared" si="6"/>
        <v>0</v>
      </c>
      <c r="AE58" s="266"/>
      <c r="AF58" s="386"/>
      <c r="AG58" s="387">
        <f t="shared" si="7"/>
        <v>0</v>
      </c>
      <c r="AH58" s="266"/>
      <c r="AI58" s="386"/>
      <c r="AJ58" s="387">
        <f t="shared" si="8"/>
        <v>0</v>
      </c>
      <c r="AK58" s="266"/>
      <c r="AL58" s="386"/>
      <c r="AM58" s="387">
        <f t="shared" si="9"/>
        <v>0</v>
      </c>
      <c r="AN58" s="388">
        <f t="shared" si="0"/>
        <v>0</v>
      </c>
      <c r="AO58" s="386">
        <f t="shared" si="1"/>
        <v>0</v>
      </c>
      <c r="AP58" s="751"/>
      <c r="AQ58" s="752"/>
      <c r="AR58" s="765"/>
      <c r="AS58" s="766"/>
    </row>
    <row r="59" spans="1:45" ht="39.75">
      <c r="A59" s="795"/>
      <c r="B59" s="757"/>
      <c r="C59" s="778" t="s">
        <v>198</v>
      </c>
      <c r="D59" s="775">
        <f>480+60</f>
        <v>540</v>
      </c>
      <c r="E59" s="771">
        <v>5</v>
      </c>
      <c r="F59" s="769">
        <v>175634</v>
      </c>
      <c r="G59" s="752">
        <f>F59*D59</f>
        <v>94842360</v>
      </c>
      <c r="H59" s="782">
        <f>D59/E59</f>
        <v>108</v>
      </c>
      <c r="I59" s="269">
        <v>1</v>
      </c>
      <c r="J59" s="397" t="s">
        <v>483</v>
      </c>
      <c r="K59" s="269">
        <v>1030545300</v>
      </c>
      <c r="L59" s="269" t="s">
        <v>538</v>
      </c>
      <c r="M59" s="269"/>
      <c r="N59" s="274" t="s">
        <v>199</v>
      </c>
      <c r="O59" s="564"/>
      <c r="P59" s="396"/>
      <c r="Q59" s="386"/>
      <c r="R59" s="387">
        <f t="shared" si="2"/>
        <v>0</v>
      </c>
      <c r="S59" s="387"/>
      <c r="T59" s="386"/>
      <c r="U59" s="387">
        <f t="shared" si="3"/>
        <v>0</v>
      </c>
      <c r="V59" s="266"/>
      <c r="W59" s="386"/>
      <c r="X59" s="387">
        <f t="shared" si="4"/>
        <v>0</v>
      </c>
      <c r="Y59" s="266"/>
      <c r="Z59" s="386"/>
      <c r="AA59" s="387">
        <f t="shared" si="5"/>
        <v>0</v>
      </c>
      <c r="AB59" s="266"/>
      <c r="AC59" s="386"/>
      <c r="AD59" s="387">
        <f t="shared" si="6"/>
        <v>0</v>
      </c>
      <c r="AE59" s="266"/>
      <c r="AF59" s="386"/>
      <c r="AG59" s="387">
        <f t="shared" si="7"/>
        <v>0</v>
      </c>
      <c r="AH59" s="266"/>
      <c r="AI59" s="386"/>
      <c r="AJ59" s="387">
        <f t="shared" si="8"/>
        <v>0</v>
      </c>
      <c r="AK59" s="266"/>
      <c r="AL59" s="386"/>
      <c r="AM59" s="387">
        <f t="shared" si="9"/>
        <v>0</v>
      </c>
      <c r="AN59" s="388">
        <f t="shared" si="0"/>
        <v>0</v>
      </c>
      <c r="AO59" s="386">
        <f t="shared" si="1"/>
        <v>0</v>
      </c>
      <c r="AP59" s="751">
        <f>SUM(AN59:AN63)</f>
        <v>0</v>
      </c>
      <c r="AQ59" s="752">
        <f>SUM(AO59:AO63)</f>
        <v>0</v>
      </c>
      <c r="AR59" s="753">
        <f t="shared" ref="AR59:AR61" si="19">AP59-D59</f>
        <v>-540</v>
      </c>
      <c r="AS59" s="755">
        <f>AQ59-G59</f>
        <v>-94842360</v>
      </c>
    </row>
    <row r="60" spans="1:45" ht="39.75">
      <c r="A60" s="795"/>
      <c r="B60" s="757"/>
      <c r="C60" s="779"/>
      <c r="D60" s="773"/>
      <c r="E60" s="771"/>
      <c r="F60" s="769"/>
      <c r="G60" s="752"/>
      <c r="H60" s="783"/>
      <c r="I60" s="269">
        <v>2</v>
      </c>
      <c r="J60" s="397" t="s">
        <v>485</v>
      </c>
      <c r="K60" s="269">
        <v>1097395574</v>
      </c>
      <c r="L60" s="269" t="s">
        <v>539</v>
      </c>
      <c r="M60" s="269"/>
      <c r="N60" s="274" t="s">
        <v>199</v>
      </c>
      <c r="O60" s="564"/>
      <c r="P60" s="396"/>
      <c r="Q60" s="386"/>
      <c r="R60" s="387">
        <f t="shared" si="2"/>
        <v>0</v>
      </c>
      <c r="S60" s="387"/>
      <c r="T60" s="386"/>
      <c r="U60" s="387">
        <f t="shared" si="3"/>
        <v>0</v>
      </c>
      <c r="V60" s="266"/>
      <c r="W60" s="386"/>
      <c r="X60" s="387">
        <f t="shared" si="4"/>
        <v>0</v>
      </c>
      <c r="Y60" s="266"/>
      <c r="Z60" s="386"/>
      <c r="AA60" s="387">
        <f t="shared" si="5"/>
        <v>0</v>
      </c>
      <c r="AB60" s="266"/>
      <c r="AC60" s="386"/>
      <c r="AD60" s="387">
        <f t="shared" si="6"/>
        <v>0</v>
      </c>
      <c r="AE60" s="266"/>
      <c r="AF60" s="386"/>
      <c r="AG60" s="387">
        <f t="shared" si="7"/>
        <v>0</v>
      </c>
      <c r="AH60" s="266"/>
      <c r="AI60" s="386"/>
      <c r="AJ60" s="387">
        <f t="shared" si="8"/>
        <v>0</v>
      </c>
      <c r="AK60" s="266"/>
      <c r="AL60" s="386"/>
      <c r="AM60" s="387">
        <f t="shared" si="9"/>
        <v>0</v>
      </c>
      <c r="AN60" s="388">
        <f t="shared" si="0"/>
        <v>0</v>
      </c>
      <c r="AO60" s="386">
        <f t="shared" si="1"/>
        <v>0</v>
      </c>
      <c r="AP60" s="751"/>
      <c r="AQ60" s="752"/>
      <c r="AR60" s="754"/>
      <c r="AS60" s="756"/>
    </row>
    <row r="61" spans="1:45">
      <c r="A61" s="795"/>
      <c r="B61" s="757"/>
      <c r="C61" s="779"/>
      <c r="D61" s="773"/>
      <c r="E61" s="771"/>
      <c r="F61" s="769"/>
      <c r="G61" s="752"/>
      <c r="H61" s="783"/>
      <c r="I61" s="269">
        <v>3</v>
      </c>
      <c r="J61" s="397"/>
      <c r="K61" s="269"/>
      <c r="L61" s="269"/>
      <c r="M61" s="269"/>
      <c r="N61" s="274"/>
      <c r="O61" s="564"/>
      <c r="P61" s="396"/>
      <c r="Q61" s="386"/>
      <c r="R61" s="387">
        <f t="shared" si="2"/>
        <v>0</v>
      </c>
      <c r="S61" s="387"/>
      <c r="T61" s="386"/>
      <c r="U61" s="387">
        <f t="shared" si="3"/>
        <v>0</v>
      </c>
      <c r="V61" s="266"/>
      <c r="W61" s="386"/>
      <c r="X61" s="387">
        <f t="shared" si="4"/>
        <v>0</v>
      </c>
      <c r="Y61" s="266"/>
      <c r="Z61" s="386"/>
      <c r="AA61" s="387">
        <f t="shared" si="5"/>
        <v>0</v>
      </c>
      <c r="AB61" s="266"/>
      <c r="AC61" s="386"/>
      <c r="AD61" s="387">
        <f t="shared" si="6"/>
        <v>0</v>
      </c>
      <c r="AE61" s="266"/>
      <c r="AF61" s="386"/>
      <c r="AG61" s="387">
        <f t="shared" si="7"/>
        <v>0</v>
      </c>
      <c r="AH61" s="266"/>
      <c r="AI61" s="386"/>
      <c r="AJ61" s="387">
        <f t="shared" si="8"/>
        <v>0</v>
      </c>
      <c r="AK61" s="266"/>
      <c r="AL61" s="386"/>
      <c r="AM61" s="387">
        <f t="shared" si="9"/>
        <v>0</v>
      </c>
      <c r="AN61" s="388">
        <f t="shared" si="0"/>
        <v>0</v>
      </c>
      <c r="AO61" s="386">
        <f t="shared" si="1"/>
        <v>0</v>
      </c>
      <c r="AP61" s="751"/>
      <c r="AQ61" s="752"/>
      <c r="AR61" s="754"/>
      <c r="AS61" s="756"/>
    </row>
    <row r="62" spans="1:45">
      <c r="A62" s="795"/>
      <c r="B62" s="757"/>
      <c r="C62" s="779"/>
      <c r="D62" s="773"/>
      <c r="E62" s="771"/>
      <c r="F62" s="769"/>
      <c r="G62" s="752"/>
      <c r="H62" s="783"/>
      <c r="I62" s="269">
        <v>4</v>
      </c>
      <c r="J62" s="397"/>
      <c r="K62" s="269"/>
      <c r="L62" s="269"/>
      <c r="M62" s="269"/>
      <c r="N62" s="274"/>
      <c r="O62" s="564"/>
      <c r="P62" s="396"/>
      <c r="Q62" s="386"/>
      <c r="R62" s="387">
        <f t="shared" si="2"/>
        <v>0</v>
      </c>
      <c r="S62" s="387"/>
      <c r="T62" s="386"/>
      <c r="U62" s="387">
        <f t="shared" si="3"/>
        <v>0</v>
      </c>
      <c r="V62" s="266"/>
      <c r="W62" s="386"/>
      <c r="X62" s="387">
        <f t="shared" si="4"/>
        <v>0</v>
      </c>
      <c r="Y62" s="266"/>
      <c r="Z62" s="386"/>
      <c r="AA62" s="387">
        <f t="shared" si="5"/>
        <v>0</v>
      </c>
      <c r="AB62" s="266"/>
      <c r="AC62" s="386"/>
      <c r="AD62" s="387">
        <f t="shared" si="6"/>
        <v>0</v>
      </c>
      <c r="AE62" s="266"/>
      <c r="AF62" s="386"/>
      <c r="AG62" s="387">
        <f t="shared" si="7"/>
        <v>0</v>
      </c>
      <c r="AH62" s="266"/>
      <c r="AI62" s="386"/>
      <c r="AJ62" s="387">
        <f t="shared" si="8"/>
        <v>0</v>
      </c>
      <c r="AK62" s="266"/>
      <c r="AL62" s="386"/>
      <c r="AM62" s="387">
        <f t="shared" si="9"/>
        <v>0</v>
      </c>
      <c r="AN62" s="388">
        <f t="shared" si="0"/>
        <v>0</v>
      </c>
      <c r="AO62" s="386">
        <f t="shared" si="1"/>
        <v>0</v>
      </c>
      <c r="AP62" s="751"/>
      <c r="AQ62" s="752"/>
      <c r="AR62" s="754"/>
      <c r="AS62" s="756"/>
    </row>
    <row r="63" spans="1:45">
      <c r="A63" s="795"/>
      <c r="B63" s="757"/>
      <c r="C63" s="770"/>
      <c r="D63" s="780"/>
      <c r="E63" s="771"/>
      <c r="F63" s="769"/>
      <c r="G63" s="752"/>
      <c r="H63" s="784"/>
      <c r="I63" s="269">
        <v>5</v>
      </c>
      <c r="J63" s="397"/>
      <c r="K63" s="269"/>
      <c r="L63" s="269"/>
      <c r="M63" s="269"/>
      <c r="N63" s="274"/>
      <c r="O63" s="564"/>
      <c r="P63" s="396"/>
      <c r="Q63" s="386"/>
      <c r="R63" s="387">
        <f t="shared" si="2"/>
        <v>0</v>
      </c>
      <c r="S63" s="387"/>
      <c r="T63" s="386"/>
      <c r="U63" s="387">
        <f t="shared" si="3"/>
        <v>0</v>
      </c>
      <c r="V63" s="266"/>
      <c r="W63" s="386"/>
      <c r="X63" s="387">
        <f t="shared" si="4"/>
        <v>0</v>
      </c>
      <c r="Y63" s="266"/>
      <c r="Z63" s="386"/>
      <c r="AA63" s="387">
        <f t="shared" si="5"/>
        <v>0</v>
      </c>
      <c r="AB63" s="266"/>
      <c r="AC63" s="386"/>
      <c r="AD63" s="387">
        <f t="shared" si="6"/>
        <v>0</v>
      </c>
      <c r="AE63" s="266"/>
      <c r="AF63" s="386"/>
      <c r="AG63" s="387">
        <f t="shared" si="7"/>
        <v>0</v>
      </c>
      <c r="AH63" s="266"/>
      <c r="AI63" s="386"/>
      <c r="AJ63" s="387">
        <f t="shared" si="8"/>
        <v>0</v>
      </c>
      <c r="AK63" s="266"/>
      <c r="AL63" s="386"/>
      <c r="AM63" s="387">
        <f t="shared" si="9"/>
        <v>0</v>
      </c>
      <c r="AN63" s="388">
        <f t="shared" si="0"/>
        <v>0</v>
      </c>
      <c r="AO63" s="386">
        <f t="shared" si="1"/>
        <v>0</v>
      </c>
      <c r="AP63" s="751"/>
      <c r="AQ63" s="752"/>
      <c r="AR63" s="765"/>
      <c r="AS63" s="766"/>
    </row>
    <row r="64" spans="1:45" ht="30">
      <c r="A64" s="795"/>
      <c r="B64" s="757"/>
      <c r="C64" s="778" t="s">
        <v>201</v>
      </c>
      <c r="D64" s="775">
        <f>762+84</f>
        <v>846</v>
      </c>
      <c r="E64" s="771">
        <v>6</v>
      </c>
      <c r="F64" s="769">
        <v>175634</v>
      </c>
      <c r="G64" s="752">
        <f>F64*D64</f>
        <v>148586364</v>
      </c>
      <c r="H64" s="782">
        <f>D64/E64</f>
        <v>141</v>
      </c>
      <c r="I64" s="269">
        <v>1</v>
      </c>
      <c r="J64" s="397" t="s">
        <v>540</v>
      </c>
      <c r="K64" s="269">
        <v>1077084057</v>
      </c>
      <c r="L64" s="269" t="s">
        <v>541</v>
      </c>
      <c r="M64" s="269"/>
      <c r="N64" s="274" t="s">
        <v>201</v>
      </c>
      <c r="O64" s="564"/>
      <c r="P64" s="396"/>
      <c r="Q64" s="386"/>
      <c r="R64" s="387">
        <f t="shared" si="2"/>
        <v>0</v>
      </c>
      <c r="S64" s="387"/>
      <c r="T64" s="386"/>
      <c r="U64" s="387">
        <f t="shared" si="3"/>
        <v>0</v>
      </c>
      <c r="V64" s="266"/>
      <c r="W64" s="386"/>
      <c r="X64" s="387">
        <f t="shared" si="4"/>
        <v>0</v>
      </c>
      <c r="Y64" s="266"/>
      <c r="Z64" s="386"/>
      <c r="AA64" s="387">
        <f t="shared" si="5"/>
        <v>0</v>
      </c>
      <c r="AB64" s="266"/>
      <c r="AC64" s="386"/>
      <c r="AD64" s="387">
        <f t="shared" si="6"/>
        <v>0</v>
      </c>
      <c r="AE64" s="266"/>
      <c r="AF64" s="386"/>
      <c r="AG64" s="387">
        <f t="shared" si="7"/>
        <v>0</v>
      </c>
      <c r="AH64" s="266"/>
      <c r="AI64" s="386"/>
      <c r="AJ64" s="387">
        <f t="shared" si="8"/>
        <v>0</v>
      </c>
      <c r="AK64" s="266"/>
      <c r="AL64" s="386"/>
      <c r="AM64" s="387">
        <f t="shared" si="9"/>
        <v>0</v>
      </c>
      <c r="AN64" s="388">
        <f t="shared" si="0"/>
        <v>0</v>
      </c>
      <c r="AO64" s="386">
        <f t="shared" si="1"/>
        <v>0</v>
      </c>
      <c r="AP64" s="751">
        <f>SUM(AN64:AN69)</f>
        <v>0</v>
      </c>
      <c r="AQ64" s="752">
        <f>SUM(AO64:AO69)</f>
        <v>0</v>
      </c>
      <c r="AR64" s="753">
        <f t="shared" ref="AR64:AR66" si="20">AP64-D64</f>
        <v>-846</v>
      </c>
      <c r="AS64" s="755">
        <f>AQ64-G64</f>
        <v>-148586364</v>
      </c>
    </row>
    <row r="65" spans="1:45" ht="30">
      <c r="A65" s="795"/>
      <c r="B65" s="757"/>
      <c r="C65" s="779"/>
      <c r="D65" s="773"/>
      <c r="E65" s="771"/>
      <c r="F65" s="769"/>
      <c r="G65" s="752"/>
      <c r="H65" s="783"/>
      <c r="I65" s="269">
        <v>2</v>
      </c>
      <c r="J65" s="397" t="s">
        <v>481</v>
      </c>
      <c r="K65" s="269">
        <v>1019053175</v>
      </c>
      <c r="L65" s="269" t="s">
        <v>542</v>
      </c>
      <c r="M65" s="269"/>
      <c r="N65" s="274" t="s">
        <v>201</v>
      </c>
      <c r="O65" s="564"/>
      <c r="P65" s="396"/>
      <c r="Q65" s="386"/>
      <c r="R65" s="387">
        <f t="shared" si="2"/>
        <v>0</v>
      </c>
      <c r="S65" s="387"/>
      <c r="T65" s="386"/>
      <c r="U65" s="387">
        <f t="shared" si="3"/>
        <v>0</v>
      </c>
      <c r="V65" s="266"/>
      <c r="W65" s="386"/>
      <c r="X65" s="387">
        <f t="shared" si="4"/>
        <v>0</v>
      </c>
      <c r="Y65" s="266"/>
      <c r="Z65" s="386"/>
      <c r="AA65" s="387">
        <f t="shared" si="5"/>
        <v>0</v>
      </c>
      <c r="AB65" s="266"/>
      <c r="AC65" s="386"/>
      <c r="AD65" s="387">
        <f t="shared" si="6"/>
        <v>0</v>
      </c>
      <c r="AE65" s="266"/>
      <c r="AF65" s="386"/>
      <c r="AG65" s="387">
        <f t="shared" si="7"/>
        <v>0</v>
      </c>
      <c r="AH65" s="266"/>
      <c r="AI65" s="386"/>
      <c r="AJ65" s="387">
        <f t="shared" si="8"/>
        <v>0</v>
      </c>
      <c r="AK65" s="266"/>
      <c r="AL65" s="386"/>
      <c r="AM65" s="387">
        <f t="shared" si="9"/>
        <v>0</v>
      </c>
      <c r="AN65" s="388">
        <f t="shared" si="0"/>
        <v>0</v>
      </c>
      <c r="AO65" s="386">
        <f t="shared" si="1"/>
        <v>0</v>
      </c>
      <c r="AP65" s="751"/>
      <c r="AQ65" s="752"/>
      <c r="AR65" s="754"/>
      <c r="AS65" s="756"/>
    </row>
    <row r="66" spans="1:45" ht="30">
      <c r="A66" s="795"/>
      <c r="B66" s="757"/>
      <c r="C66" s="779"/>
      <c r="D66" s="773"/>
      <c r="E66" s="771"/>
      <c r="F66" s="769"/>
      <c r="G66" s="752"/>
      <c r="H66" s="783"/>
      <c r="I66" s="269">
        <v>3</v>
      </c>
      <c r="J66" s="397" t="s">
        <v>487</v>
      </c>
      <c r="K66" s="269">
        <v>52959266</v>
      </c>
      <c r="L66" s="269" t="s">
        <v>543</v>
      </c>
      <c r="M66" s="269"/>
      <c r="N66" s="274" t="s">
        <v>201</v>
      </c>
      <c r="O66" s="564"/>
      <c r="P66" s="396"/>
      <c r="Q66" s="386"/>
      <c r="R66" s="387">
        <f t="shared" si="2"/>
        <v>0</v>
      </c>
      <c r="S66" s="387"/>
      <c r="T66" s="386"/>
      <c r="U66" s="387">
        <f t="shared" si="3"/>
        <v>0</v>
      </c>
      <c r="V66" s="266"/>
      <c r="W66" s="386"/>
      <c r="X66" s="387">
        <f t="shared" si="4"/>
        <v>0</v>
      </c>
      <c r="Y66" s="266"/>
      <c r="Z66" s="386"/>
      <c r="AA66" s="387">
        <f t="shared" si="5"/>
        <v>0</v>
      </c>
      <c r="AB66" s="266"/>
      <c r="AC66" s="386"/>
      <c r="AD66" s="387">
        <f t="shared" si="6"/>
        <v>0</v>
      </c>
      <c r="AE66" s="266"/>
      <c r="AF66" s="386"/>
      <c r="AG66" s="387">
        <f t="shared" si="7"/>
        <v>0</v>
      </c>
      <c r="AH66" s="266"/>
      <c r="AI66" s="386"/>
      <c r="AJ66" s="387">
        <f t="shared" si="8"/>
        <v>0</v>
      </c>
      <c r="AK66" s="266"/>
      <c r="AL66" s="386"/>
      <c r="AM66" s="387">
        <f t="shared" si="9"/>
        <v>0</v>
      </c>
      <c r="AN66" s="388">
        <f t="shared" si="0"/>
        <v>0</v>
      </c>
      <c r="AO66" s="386">
        <f t="shared" si="1"/>
        <v>0</v>
      </c>
      <c r="AP66" s="751"/>
      <c r="AQ66" s="752"/>
      <c r="AR66" s="754"/>
      <c r="AS66" s="756"/>
    </row>
    <row r="67" spans="1:45">
      <c r="A67" s="795"/>
      <c r="B67" s="757"/>
      <c r="C67" s="779"/>
      <c r="D67" s="773"/>
      <c r="E67" s="771"/>
      <c r="F67" s="769"/>
      <c r="G67" s="752"/>
      <c r="H67" s="783"/>
      <c r="I67" s="269">
        <v>4</v>
      </c>
      <c r="J67" s="397"/>
      <c r="K67" s="269"/>
      <c r="L67" s="269"/>
      <c r="M67" s="269"/>
      <c r="N67" s="274"/>
      <c r="O67" s="564"/>
      <c r="P67" s="396"/>
      <c r="Q67" s="386"/>
      <c r="R67" s="387">
        <f t="shared" si="2"/>
        <v>0</v>
      </c>
      <c r="S67" s="387"/>
      <c r="T67" s="386"/>
      <c r="U67" s="387">
        <f t="shared" si="3"/>
        <v>0</v>
      </c>
      <c r="V67" s="266"/>
      <c r="W67" s="386"/>
      <c r="X67" s="387">
        <f t="shared" si="4"/>
        <v>0</v>
      </c>
      <c r="Y67" s="266"/>
      <c r="Z67" s="386"/>
      <c r="AA67" s="387">
        <f t="shared" si="5"/>
        <v>0</v>
      </c>
      <c r="AB67" s="266"/>
      <c r="AC67" s="386"/>
      <c r="AD67" s="387">
        <f t="shared" si="6"/>
        <v>0</v>
      </c>
      <c r="AE67" s="266"/>
      <c r="AF67" s="386"/>
      <c r="AG67" s="387">
        <f t="shared" si="7"/>
        <v>0</v>
      </c>
      <c r="AH67" s="266"/>
      <c r="AI67" s="386"/>
      <c r="AJ67" s="387">
        <f t="shared" si="8"/>
        <v>0</v>
      </c>
      <c r="AK67" s="266"/>
      <c r="AL67" s="386"/>
      <c r="AM67" s="387">
        <f t="shared" si="9"/>
        <v>0</v>
      </c>
      <c r="AN67" s="388">
        <f t="shared" si="0"/>
        <v>0</v>
      </c>
      <c r="AO67" s="386">
        <f t="shared" si="1"/>
        <v>0</v>
      </c>
      <c r="AP67" s="751"/>
      <c r="AQ67" s="752"/>
      <c r="AR67" s="754"/>
      <c r="AS67" s="756"/>
    </row>
    <row r="68" spans="1:45">
      <c r="A68" s="795"/>
      <c r="B68" s="757"/>
      <c r="C68" s="779"/>
      <c r="D68" s="773"/>
      <c r="E68" s="771"/>
      <c r="F68" s="769"/>
      <c r="G68" s="752"/>
      <c r="H68" s="783"/>
      <c r="I68" s="269">
        <v>5</v>
      </c>
      <c r="J68" s="397"/>
      <c r="K68" s="269"/>
      <c r="L68" s="269"/>
      <c r="M68" s="269"/>
      <c r="N68" s="274"/>
      <c r="O68" s="564"/>
      <c r="P68" s="396"/>
      <c r="Q68" s="386"/>
      <c r="R68" s="387">
        <f t="shared" si="2"/>
        <v>0</v>
      </c>
      <c r="S68" s="387"/>
      <c r="T68" s="386"/>
      <c r="U68" s="387">
        <f t="shared" si="3"/>
        <v>0</v>
      </c>
      <c r="V68" s="266"/>
      <c r="W68" s="386"/>
      <c r="X68" s="387">
        <f t="shared" si="4"/>
        <v>0</v>
      </c>
      <c r="Y68" s="266"/>
      <c r="Z68" s="386"/>
      <c r="AA68" s="387">
        <f t="shared" si="5"/>
        <v>0</v>
      </c>
      <c r="AB68" s="266"/>
      <c r="AC68" s="386"/>
      <c r="AD68" s="387">
        <f t="shared" si="6"/>
        <v>0</v>
      </c>
      <c r="AE68" s="266"/>
      <c r="AF68" s="386"/>
      <c r="AG68" s="387">
        <f t="shared" si="7"/>
        <v>0</v>
      </c>
      <c r="AH68" s="266"/>
      <c r="AI68" s="386"/>
      <c r="AJ68" s="387">
        <f t="shared" si="8"/>
        <v>0</v>
      </c>
      <c r="AK68" s="266"/>
      <c r="AL68" s="386"/>
      <c r="AM68" s="387">
        <f t="shared" si="9"/>
        <v>0</v>
      </c>
      <c r="AN68" s="388">
        <f t="shared" si="0"/>
        <v>0</v>
      </c>
      <c r="AO68" s="386">
        <f t="shared" si="1"/>
        <v>0</v>
      </c>
      <c r="AP68" s="751"/>
      <c r="AQ68" s="752"/>
      <c r="AR68" s="754"/>
      <c r="AS68" s="756"/>
    </row>
    <row r="69" spans="1:45">
      <c r="A69" s="795"/>
      <c r="B69" s="757"/>
      <c r="C69" s="770"/>
      <c r="D69" s="780"/>
      <c r="E69" s="771"/>
      <c r="F69" s="769"/>
      <c r="G69" s="752"/>
      <c r="H69" s="784"/>
      <c r="I69" s="269">
        <v>6</v>
      </c>
      <c r="J69" s="397"/>
      <c r="K69" s="269"/>
      <c r="L69" s="269"/>
      <c r="M69" s="269"/>
      <c r="N69" s="274"/>
      <c r="O69" s="564"/>
      <c r="P69" s="396"/>
      <c r="Q69" s="386"/>
      <c r="R69" s="387">
        <f t="shared" si="2"/>
        <v>0</v>
      </c>
      <c r="S69" s="387"/>
      <c r="T69" s="386"/>
      <c r="U69" s="387">
        <f t="shared" si="3"/>
        <v>0</v>
      </c>
      <c r="V69" s="266"/>
      <c r="W69" s="386"/>
      <c r="X69" s="387">
        <f t="shared" si="4"/>
        <v>0</v>
      </c>
      <c r="Y69" s="266"/>
      <c r="Z69" s="386"/>
      <c r="AA69" s="387">
        <f t="shared" si="5"/>
        <v>0</v>
      </c>
      <c r="AB69" s="266"/>
      <c r="AC69" s="386"/>
      <c r="AD69" s="387">
        <f t="shared" si="6"/>
        <v>0</v>
      </c>
      <c r="AE69" s="266"/>
      <c r="AF69" s="386"/>
      <c r="AG69" s="387">
        <f t="shared" si="7"/>
        <v>0</v>
      </c>
      <c r="AH69" s="266"/>
      <c r="AI69" s="386"/>
      <c r="AJ69" s="387">
        <f t="shared" si="8"/>
        <v>0</v>
      </c>
      <c r="AK69" s="266"/>
      <c r="AL69" s="386"/>
      <c r="AM69" s="387">
        <f t="shared" si="9"/>
        <v>0</v>
      </c>
      <c r="AN69" s="388">
        <f t="shared" si="0"/>
        <v>0</v>
      </c>
      <c r="AO69" s="386">
        <f t="shared" si="1"/>
        <v>0</v>
      </c>
      <c r="AP69" s="751"/>
      <c r="AQ69" s="752"/>
      <c r="AR69" s="765"/>
      <c r="AS69" s="766"/>
    </row>
    <row r="70" spans="1:45">
      <c r="A70" s="795"/>
      <c r="B70" s="757"/>
      <c r="C70" s="778" t="s">
        <v>204</v>
      </c>
      <c r="D70" s="775">
        <v>128</v>
      </c>
      <c r="E70" s="771">
        <v>3</v>
      </c>
      <c r="F70" s="769">
        <v>175634</v>
      </c>
      <c r="G70" s="752">
        <f>F70*D70</f>
        <v>22481152</v>
      </c>
      <c r="H70" s="782">
        <f>D70/E70</f>
        <v>42.666666666666664</v>
      </c>
      <c r="I70" s="269">
        <v>1</v>
      </c>
      <c r="J70" s="397" t="s">
        <v>478</v>
      </c>
      <c r="K70" s="269">
        <v>1075654387</v>
      </c>
      <c r="L70" s="269" t="s">
        <v>544</v>
      </c>
      <c r="M70" s="269"/>
      <c r="N70" s="274" t="s">
        <v>204</v>
      </c>
      <c r="O70" s="564"/>
      <c r="P70" s="396"/>
      <c r="Q70" s="386"/>
      <c r="R70" s="387">
        <f t="shared" si="2"/>
        <v>0</v>
      </c>
      <c r="S70" s="387"/>
      <c r="T70" s="386"/>
      <c r="U70" s="387">
        <f t="shared" si="3"/>
        <v>0</v>
      </c>
      <c r="V70" s="266"/>
      <c r="W70" s="386"/>
      <c r="X70" s="387">
        <f t="shared" si="4"/>
        <v>0</v>
      </c>
      <c r="Y70" s="266"/>
      <c r="Z70" s="386"/>
      <c r="AA70" s="387">
        <f t="shared" si="5"/>
        <v>0</v>
      </c>
      <c r="AB70" s="266"/>
      <c r="AC70" s="386"/>
      <c r="AD70" s="387">
        <f t="shared" si="6"/>
        <v>0</v>
      </c>
      <c r="AE70" s="266"/>
      <c r="AF70" s="386"/>
      <c r="AG70" s="387">
        <f t="shared" si="7"/>
        <v>0</v>
      </c>
      <c r="AH70" s="266"/>
      <c r="AI70" s="386"/>
      <c r="AJ70" s="387">
        <f t="shared" si="8"/>
        <v>0</v>
      </c>
      <c r="AK70" s="266"/>
      <c r="AL70" s="386"/>
      <c r="AM70" s="387">
        <f t="shared" si="9"/>
        <v>0</v>
      </c>
      <c r="AN70" s="388">
        <f t="shared" si="0"/>
        <v>0</v>
      </c>
      <c r="AO70" s="386">
        <f t="shared" si="1"/>
        <v>0</v>
      </c>
      <c r="AP70" s="751">
        <f>SUM(AN70:AN72)</f>
        <v>0</v>
      </c>
      <c r="AQ70" s="752">
        <f>SUM(AO70:AO72)</f>
        <v>0</v>
      </c>
      <c r="AR70" s="753">
        <f t="shared" ref="AR70:AR71" si="21">AP70-D70</f>
        <v>-128</v>
      </c>
      <c r="AS70" s="755">
        <f t="shared" ref="AS70:AS71" si="22">AQ70-G70</f>
        <v>-22481152</v>
      </c>
    </row>
    <row r="71" spans="1:45">
      <c r="A71" s="795"/>
      <c r="B71" s="757"/>
      <c r="C71" s="779"/>
      <c r="D71" s="773"/>
      <c r="E71" s="771"/>
      <c r="F71" s="769"/>
      <c r="G71" s="752"/>
      <c r="H71" s="783"/>
      <c r="I71" s="269">
        <v>2</v>
      </c>
      <c r="J71" s="397" t="s">
        <v>486</v>
      </c>
      <c r="K71" s="269">
        <v>1053604513</v>
      </c>
      <c r="L71" s="269" t="s">
        <v>545</v>
      </c>
      <c r="M71" s="269"/>
      <c r="N71" s="274" t="s">
        <v>204</v>
      </c>
      <c r="O71" s="564"/>
      <c r="P71" s="396"/>
      <c r="Q71" s="386"/>
      <c r="R71" s="387">
        <f t="shared" si="2"/>
        <v>0</v>
      </c>
      <c r="S71" s="387"/>
      <c r="T71" s="386"/>
      <c r="U71" s="387">
        <f t="shared" si="3"/>
        <v>0</v>
      </c>
      <c r="V71" s="266"/>
      <c r="W71" s="386"/>
      <c r="X71" s="387">
        <f t="shared" si="4"/>
        <v>0</v>
      </c>
      <c r="Y71" s="266"/>
      <c r="Z71" s="386"/>
      <c r="AA71" s="387">
        <f t="shared" si="5"/>
        <v>0</v>
      </c>
      <c r="AB71" s="266"/>
      <c r="AC71" s="386"/>
      <c r="AD71" s="387">
        <f t="shared" si="6"/>
        <v>0</v>
      </c>
      <c r="AE71" s="266"/>
      <c r="AF71" s="386"/>
      <c r="AG71" s="387">
        <f t="shared" si="7"/>
        <v>0</v>
      </c>
      <c r="AH71" s="266"/>
      <c r="AI71" s="386"/>
      <c r="AJ71" s="387">
        <f t="shared" si="8"/>
        <v>0</v>
      </c>
      <c r="AK71" s="266"/>
      <c r="AL71" s="386"/>
      <c r="AM71" s="387">
        <f t="shared" si="9"/>
        <v>0</v>
      </c>
      <c r="AN71" s="388">
        <f t="shared" si="0"/>
        <v>0</v>
      </c>
      <c r="AO71" s="386">
        <f t="shared" si="1"/>
        <v>0</v>
      </c>
      <c r="AP71" s="751"/>
      <c r="AQ71" s="752"/>
      <c r="AR71" s="754"/>
      <c r="AS71" s="756"/>
    </row>
    <row r="72" spans="1:45">
      <c r="A72" s="795"/>
      <c r="B72" s="757"/>
      <c r="C72" s="770"/>
      <c r="D72" s="780"/>
      <c r="E72" s="771"/>
      <c r="F72" s="769"/>
      <c r="G72" s="752"/>
      <c r="H72" s="850"/>
      <c r="I72" s="269">
        <v>3</v>
      </c>
      <c r="J72" s="397"/>
      <c r="K72" s="269"/>
      <c r="L72" s="269"/>
      <c r="M72" s="269"/>
      <c r="N72" s="274"/>
      <c r="O72" s="564"/>
      <c r="P72" s="396"/>
      <c r="Q72" s="386"/>
      <c r="R72" s="387">
        <f t="shared" si="2"/>
        <v>0</v>
      </c>
      <c r="S72" s="387"/>
      <c r="T72" s="386"/>
      <c r="U72" s="387">
        <f t="shared" si="3"/>
        <v>0</v>
      </c>
      <c r="V72" s="266"/>
      <c r="W72" s="386"/>
      <c r="X72" s="387">
        <f t="shared" si="4"/>
        <v>0</v>
      </c>
      <c r="Y72" s="266"/>
      <c r="Z72" s="386"/>
      <c r="AA72" s="387">
        <f t="shared" si="5"/>
        <v>0</v>
      </c>
      <c r="AB72" s="266"/>
      <c r="AC72" s="386"/>
      <c r="AD72" s="387">
        <f t="shared" si="6"/>
        <v>0</v>
      </c>
      <c r="AE72" s="266"/>
      <c r="AF72" s="386"/>
      <c r="AG72" s="387">
        <f t="shared" si="7"/>
        <v>0</v>
      </c>
      <c r="AH72" s="266"/>
      <c r="AI72" s="386"/>
      <c r="AJ72" s="387">
        <f t="shared" si="8"/>
        <v>0</v>
      </c>
      <c r="AK72" s="266"/>
      <c r="AL72" s="386"/>
      <c r="AM72" s="387">
        <f t="shared" si="9"/>
        <v>0</v>
      </c>
      <c r="AN72" s="388">
        <f t="shared" si="0"/>
        <v>0</v>
      </c>
      <c r="AO72" s="386">
        <f t="shared" si="1"/>
        <v>0</v>
      </c>
      <c r="AP72" s="751"/>
      <c r="AQ72" s="752"/>
      <c r="AR72" s="765"/>
      <c r="AS72" s="766"/>
    </row>
    <row r="73" spans="1:45" ht="30">
      <c r="A73" s="795"/>
      <c r="B73" s="757"/>
      <c r="C73" s="778" t="s">
        <v>207</v>
      </c>
      <c r="D73" s="775">
        <f>480+30</f>
        <v>510</v>
      </c>
      <c r="E73" s="771">
        <v>5</v>
      </c>
      <c r="F73" s="769">
        <v>175634</v>
      </c>
      <c r="G73" s="752">
        <f>F73*D73</f>
        <v>89573340</v>
      </c>
      <c r="H73" s="776">
        <f>D73/E73</f>
        <v>102</v>
      </c>
      <c r="I73" s="269">
        <v>1</v>
      </c>
      <c r="J73" s="397" t="s">
        <v>477</v>
      </c>
      <c r="K73" s="269">
        <v>80050631</v>
      </c>
      <c r="L73" s="269" t="s">
        <v>546</v>
      </c>
      <c r="M73" s="269"/>
      <c r="N73" s="274" t="s">
        <v>208</v>
      </c>
      <c r="O73" s="564"/>
      <c r="P73" s="396"/>
      <c r="Q73" s="386"/>
      <c r="R73" s="387">
        <f t="shared" si="2"/>
        <v>0</v>
      </c>
      <c r="S73" s="387"/>
      <c r="T73" s="386"/>
      <c r="U73" s="387">
        <f t="shared" si="3"/>
        <v>0</v>
      </c>
      <c r="V73" s="266"/>
      <c r="W73" s="386"/>
      <c r="X73" s="387">
        <f t="shared" si="4"/>
        <v>0</v>
      </c>
      <c r="Y73" s="266"/>
      <c r="Z73" s="386"/>
      <c r="AA73" s="387">
        <f t="shared" si="5"/>
        <v>0</v>
      </c>
      <c r="AB73" s="266"/>
      <c r="AC73" s="386"/>
      <c r="AD73" s="387">
        <f t="shared" si="6"/>
        <v>0</v>
      </c>
      <c r="AE73" s="266"/>
      <c r="AF73" s="386"/>
      <c r="AG73" s="387">
        <f t="shared" si="7"/>
        <v>0</v>
      </c>
      <c r="AH73" s="266"/>
      <c r="AI73" s="386"/>
      <c r="AJ73" s="387">
        <f t="shared" si="8"/>
        <v>0</v>
      </c>
      <c r="AK73" s="266"/>
      <c r="AL73" s="386"/>
      <c r="AM73" s="387">
        <f t="shared" si="9"/>
        <v>0</v>
      </c>
      <c r="AN73" s="388">
        <f t="shared" si="0"/>
        <v>0</v>
      </c>
      <c r="AO73" s="386">
        <f t="shared" si="1"/>
        <v>0</v>
      </c>
      <c r="AP73" s="751">
        <f>SUM(AN73:AN77)</f>
        <v>0</v>
      </c>
      <c r="AQ73" s="752">
        <f>SUM(AO73:AO77)</f>
        <v>0</v>
      </c>
      <c r="AR73" s="753">
        <f t="shared" ref="AR73:AR74" si="23">AP73-D73</f>
        <v>-510</v>
      </c>
      <c r="AS73" s="755">
        <f t="shared" ref="AS73:AS74" si="24">AQ73-G73</f>
        <v>-89573340</v>
      </c>
    </row>
    <row r="74" spans="1:45" ht="30">
      <c r="A74" s="795"/>
      <c r="B74" s="757"/>
      <c r="C74" s="779"/>
      <c r="D74" s="773"/>
      <c r="E74" s="771"/>
      <c r="F74" s="769"/>
      <c r="G74" s="752"/>
      <c r="H74" s="777"/>
      <c r="I74" s="269">
        <v>2</v>
      </c>
      <c r="J74" s="397" t="s">
        <v>478</v>
      </c>
      <c r="K74" s="269">
        <v>1075654387</v>
      </c>
      <c r="L74" s="269" t="s">
        <v>544</v>
      </c>
      <c r="M74" s="269"/>
      <c r="N74" s="274" t="s">
        <v>208</v>
      </c>
      <c r="O74" s="564"/>
      <c r="P74" s="396"/>
      <c r="Q74" s="386"/>
      <c r="R74" s="387">
        <f t="shared" si="2"/>
        <v>0</v>
      </c>
      <c r="S74" s="387"/>
      <c r="T74" s="386"/>
      <c r="U74" s="387">
        <f t="shared" si="3"/>
        <v>0</v>
      </c>
      <c r="V74" s="266"/>
      <c r="W74" s="386"/>
      <c r="X74" s="387">
        <f t="shared" si="4"/>
        <v>0</v>
      </c>
      <c r="Y74" s="266"/>
      <c r="Z74" s="386"/>
      <c r="AA74" s="387">
        <f t="shared" si="5"/>
        <v>0</v>
      </c>
      <c r="AB74" s="266"/>
      <c r="AC74" s="386"/>
      <c r="AD74" s="387">
        <f t="shared" si="6"/>
        <v>0</v>
      </c>
      <c r="AE74" s="266"/>
      <c r="AF74" s="386"/>
      <c r="AG74" s="387">
        <f t="shared" si="7"/>
        <v>0</v>
      </c>
      <c r="AH74" s="266"/>
      <c r="AI74" s="386"/>
      <c r="AJ74" s="387">
        <f t="shared" si="8"/>
        <v>0</v>
      </c>
      <c r="AK74" s="266"/>
      <c r="AL74" s="386"/>
      <c r="AM74" s="387">
        <f t="shared" si="9"/>
        <v>0</v>
      </c>
      <c r="AN74" s="388">
        <f t="shared" si="0"/>
        <v>0</v>
      </c>
      <c r="AO74" s="386">
        <f t="shared" si="1"/>
        <v>0</v>
      </c>
      <c r="AP74" s="751"/>
      <c r="AQ74" s="752"/>
      <c r="AR74" s="754"/>
      <c r="AS74" s="756"/>
    </row>
    <row r="75" spans="1:45" ht="30">
      <c r="A75" s="795"/>
      <c r="B75" s="757"/>
      <c r="C75" s="779"/>
      <c r="D75" s="773"/>
      <c r="E75" s="771"/>
      <c r="F75" s="769"/>
      <c r="G75" s="752"/>
      <c r="H75" s="777"/>
      <c r="I75" s="269">
        <v>3</v>
      </c>
      <c r="J75" s="397" t="s">
        <v>484</v>
      </c>
      <c r="K75" s="269">
        <v>66914533</v>
      </c>
      <c r="L75" s="269" t="s">
        <v>547</v>
      </c>
      <c r="M75" s="269"/>
      <c r="N75" s="274" t="s">
        <v>208</v>
      </c>
      <c r="O75" s="564"/>
      <c r="P75" s="396"/>
      <c r="Q75" s="386"/>
      <c r="R75" s="387">
        <f t="shared" si="2"/>
        <v>0</v>
      </c>
      <c r="S75" s="387"/>
      <c r="T75" s="386"/>
      <c r="U75" s="387">
        <f t="shared" si="3"/>
        <v>0</v>
      </c>
      <c r="V75" s="266"/>
      <c r="W75" s="386"/>
      <c r="X75" s="387">
        <f t="shared" si="4"/>
        <v>0</v>
      </c>
      <c r="Y75" s="266"/>
      <c r="Z75" s="386"/>
      <c r="AA75" s="387">
        <f t="shared" si="5"/>
        <v>0</v>
      </c>
      <c r="AB75" s="266"/>
      <c r="AC75" s="386"/>
      <c r="AD75" s="387">
        <f t="shared" si="6"/>
        <v>0</v>
      </c>
      <c r="AE75" s="266"/>
      <c r="AF75" s="386"/>
      <c r="AG75" s="387">
        <f t="shared" si="7"/>
        <v>0</v>
      </c>
      <c r="AH75" s="266"/>
      <c r="AI75" s="386"/>
      <c r="AJ75" s="387">
        <f t="shared" si="8"/>
        <v>0</v>
      </c>
      <c r="AK75" s="266"/>
      <c r="AL75" s="386"/>
      <c r="AM75" s="387">
        <f t="shared" si="9"/>
        <v>0</v>
      </c>
      <c r="AN75" s="388">
        <f t="shared" si="0"/>
        <v>0</v>
      </c>
      <c r="AO75" s="386">
        <f t="shared" si="1"/>
        <v>0</v>
      </c>
      <c r="AP75" s="751"/>
      <c r="AQ75" s="752"/>
      <c r="AR75" s="754"/>
      <c r="AS75" s="756"/>
    </row>
    <row r="76" spans="1:45" ht="30">
      <c r="A76" s="795"/>
      <c r="B76" s="757"/>
      <c r="C76" s="779"/>
      <c r="D76" s="773"/>
      <c r="E76" s="771"/>
      <c r="F76" s="769"/>
      <c r="G76" s="752"/>
      <c r="H76" s="777"/>
      <c r="I76" s="269">
        <v>4</v>
      </c>
      <c r="J76" s="397" t="s">
        <v>486</v>
      </c>
      <c r="K76" s="269">
        <v>1053604513</v>
      </c>
      <c r="L76" s="269" t="s">
        <v>545</v>
      </c>
      <c r="M76" s="269"/>
      <c r="N76" s="274" t="s">
        <v>208</v>
      </c>
      <c r="O76" s="564"/>
      <c r="P76" s="396"/>
      <c r="Q76" s="386"/>
      <c r="R76" s="387">
        <f t="shared" si="2"/>
        <v>0</v>
      </c>
      <c r="S76" s="387"/>
      <c r="T76" s="386"/>
      <c r="U76" s="387">
        <f t="shared" si="3"/>
        <v>0</v>
      </c>
      <c r="V76" s="266"/>
      <c r="W76" s="386"/>
      <c r="X76" s="387">
        <f t="shared" si="4"/>
        <v>0</v>
      </c>
      <c r="Y76" s="266"/>
      <c r="Z76" s="386"/>
      <c r="AA76" s="387">
        <f t="shared" si="5"/>
        <v>0</v>
      </c>
      <c r="AB76" s="266"/>
      <c r="AC76" s="386"/>
      <c r="AD76" s="387">
        <f t="shared" si="6"/>
        <v>0</v>
      </c>
      <c r="AE76" s="266"/>
      <c r="AF76" s="386"/>
      <c r="AG76" s="387">
        <f t="shared" si="7"/>
        <v>0</v>
      </c>
      <c r="AH76" s="266"/>
      <c r="AI76" s="386"/>
      <c r="AJ76" s="387">
        <f t="shared" si="8"/>
        <v>0</v>
      </c>
      <c r="AK76" s="266"/>
      <c r="AL76" s="386"/>
      <c r="AM76" s="387">
        <f t="shared" si="9"/>
        <v>0</v>
      </c>
      <c r="AN76" s="388">
        <f t="shared" si="0"/>
        <v>0</v>
      </c>
      <c r="AO76" s="386">
        <f t="shared" si="1"/>
        <v>0</v>
      </c>
      <c r="AP76" s="751"/>
      <c r="AQ76" s="752"/>
      <c r="AR76" s="754"/>
      <c r="AS76" s="756"/>
    </row>
    <row r="77" spans="1:45" ht="30">
      <c r="A77" s="795"/>
      <c r="B77" s="757"/>
      <c r="C77" s="770"/>
      <c r="D77" s="780"/>
      <c r="E77" s="771"/>
      <c r="F77" s="769"/>
      <c r="G77" s="752"/>
      <c r="H77" s="781"/>
      <c r="I77" s="269">
        <v>5</v>
      </c>
      <c r="J77" s="397" t="s">
        <v>548</v>
      </c>
      <c r="K77" s="269">
        <v>52828431</v>
      </c>
      <c r="L77" s="269"/>
      <c r="M77" s="269"/>
      <c r="N77" s="274" t="s">
        <v>208</v>
      </c>
      <c r="O77" s="564"/>
      <c r="P77" s="396"/>
      <c r="Q77" s="386"/>
      <c r="R77" s="387">
        <f t="shared" si="2"/>
        <v>0</v>
      </c>
      <c r="S77" s="387"/>
      <c r="T77" s="386"/>
      <c r="U77" s="387">
        <f t="shared" si="3"/>
        <v>0</v>
      </c>
      <c r="V77" s="266"/>
      <c r="W77" s="386"/>
      <c r="X77" s="387">
        <f t="shared" si="4"/>
        <v>0</v>
      </c>
      <c r="Y77" s="266"/>
      <c r="Z77" s="386"/>
      <c r="AA77" s="387">
        <f t="shared" si="5"/>
        <v>0</v>
      </c>
      <c r="AB77" s="266"/>
      <c r="AC77" s="386"/>
      <c r="AD77" s="387">
        <f t="shared" si="6"/>
        <v>0</v>
      </c>
      <c r="AE77" s="266"/>
      <c r="AF77" s="386"/>
      <c r="AG77" s="387">
        <f t="shared" si="7"/>
        <v>0</v>
      </c>
      <c r="AH77" s="266"/>
      <c r="AI77" s="386"/>
      <c r="AJ77" s="387">
        <f t="shared" si="8"/>
        <v>0</v>
      </c>
      <c r="AK77" s="266"/>
      <c r="AL77" s="386"/>
      <c r="AM77" s="387">
        <f t="shared" si="9"/>
        <v>0</v>
      </c>
      <c r="AN77" s="388">
        <f t="shared" si="0"/>
        <v>0</v>
      </c>
      <c r="AO77" s="386">
        <f t="shared" si="1"/>
        <v>0</v>
      </c>
      <c r="AP77" s="751"/>
      <c r="AQ77" s="752"/>
      <c r="AR77" s="765"/>
      <c r="AS77" s="766"/>
    </row>
    <row r="78" spans="1:45" ht="69">
      <c r="A78" s="795"/>
      <c r="B78" s="757"/>
      <c r="C78" s="778" t="s">
        <v>209</v>
      </c>
      <c r="D78" s="775">
        <f>782+72</f>
        <v>854</v>
      </c>
      <c r="E78" s="771">
        <v>8</v>
      </c>
      <c r="F78" s="769">
        <v>175634</v>
      </c>
      <c r="G78" s="752">
        <f>F78*D78</f>
        <v>149991436</v>
      </c>
      <c r="H78" s="776">
        <f>D78/E78</f>
        <v>106.75</v>
      </c>
      <c r="I78" s="269">
        <v>1</v>
      </c>
      <c r="J78" s="397" t="s">
        <v>479</v>
      </c>
      <c r="K78" s="269">
        <v>1030602001</v>
      </c>
      <c r="L78" s="269" t="s">
        <v>549</v>
      </c>
      <c r="M78" s="269"/>
      <c r="N78" s="274" t="s">
        <v>210</v>
      </c>
      <c r="O78" s="564"/>
      <c r="P78" s="396"/>
      <c r="Q78" s="386"/>
      <c r="R78" s="387">
        <f t="shared" si="2"/>
        <v>0</v>
      </c>
      <c r="S78" s="387"/>
      <c r="T78" s="386"/>
      <c r="U78" s="387">
        <f t="shared" si="3"/>
        <v>0</v>
      </c>
      <c r="V78" s="266"/>
      <c r="W78" s="386"/>
      <c r="X78" s="387">
        <f t="shared" si="4"/>
        <v>0</v>
      </c>
      <c r="Y78" s="266"/>
      <c r="Z78" s="386"/>
      <c r="AA78" s="387">
        <f t="shared" si="5"/>
        <v>0</v>
      </c>
      <c r="AB78" s="266"/>
      <c r="AC78" s="386"/>
      <c r="AD78" s="387">
        <f t="shared" si="6"/>
        <v>0</v>
      </c>
      <c r="AE78" s="266"/>
      <c r="AF78" s="386"/>
      <c r="AG78" s="387">
        <f t="shared" si="7"/>
        <v>0</v>
      </c>
      <c r="AH78" s="266"/>
      <c r="AI78" s="386"/>
      <c r="AJ78" s="387">
        <f t="shared" si="8"/>
        <v>0</v>
      </c>
      <c r="AK78" s="266"/>
      <c r="AL78" s="386"/>
      <c r="AM78" s="387">
        <f t="shared" si="9"/>
        <v>0</v>
      </c>
      <c r="AN78" s="388">
        <f t="shared" si="0"/>
        <v>0</v>
      </c>
      <c r="AO78" s="386">
        <f t="shared" si="1"/>
        <v>0</v>
      </c>
      <c r="AP78" s="751">
        <f>SUM(AN78:AN85)</f>
        <v>0</v>
      </c>
      <c r="AQ78" s="752">
        <f>SUM(AO78:AO85)</f>
        <v>0</v>
      </c>
      <c r="AR78" s="753">
        <f t="shared" ref="AR78:AR79" si="25">AP78-D78</f>
        <v>-854</v>
      </c>
      <c r="AS78" s="755">
        <f t="shared" ref="AS78:AS79" si="26">AQ78-G78</f>
        <v>-149991436</v>
      </c>
    </row>
    <row r="79" spans="1:45">
      <c r="A79" s="795"/>
      <c r="B79" s="757"/>
      <c r="C79" s="779"/>
      <c r="D79" s="773"/>
      <c r="E79" s="771"/>
      <c r="F79" s="769"/>
      <c r="G79" s="752"/>
      <c r="H79" s="777"/>
      <c r="I79" s="269">
        <v>2</v>
      </c>
      <c r="J79" s="397"/>
      <c r="K79" s="269"/>
      <c r="L79" s="269"/>
      <c r="M79" s="269"/>
      <c r="N79" s="274"/>
      <c r="O79" s="564"/>
      <c r="P79" s="396"/>
      <c r="Q79" s="386"/>
      <c r="R79" s="387">
        <f t="shared" si="2"/>
        <v>0</v>
      </c>
      <c r="S79" s="387"/>
      <c r="T79" s="386"/>
      <c r="U79" s="387">
        <f t="shared" si="3"/>
        <v>0</v>
      </c>
      <c r="V79" s="266"/>
      <c r="W79" s="386"/>
      <c r="X79" s="387">
        <f t="shared" si="4"/>
        <v>0</v>
      </c>
      <c r="Y79" s="266"/>
      <c r="Z79" s="386"/>
      <c r="AA79" s="387">
        <f t="shared" si="5"/>
        <v>0</v>
      </c>
      <c r="AB79" s="266"/>
      <c r="AC79" s="386"/>
      <c r="AD79" s="387">
        <f t="shared" si="6"/>
        <v>0</v>
      </c>
      <c r="AE79" s="266"/>
      <c r="AF79" s="386"/>
      <c r="AG79" s="387">
        <f t="shared" si="7"/>
        <v>0</v>
      </c>
      <c r="AH79" s="266"/>
      <c r="AI79" s="386"/>
      <c r="AJ79" s="387">
        <f t="shared" si="8"/>
        <v>0</v>
      </c>
      <c r="AK79" s="266"/>
      <c r="AL79" s="386"/>
      <c r="AM79" s="387">
        <f t="shared" si="9"/>
        <v>0</v>
      </c>
      <c r="AN79" s="388">
        <f t="shared" si="0"/>
        <v>0</v>
      </c>
      <c r="AO79" s="386">
        <f t="shared" si="1"/>
        <v>0</v>
      </c>
      <c r="AP79" s="751"/>
      <c r="AQ79" s="752"/>
      <c r="AR79" s="754"/>
      <c r="AS79" s="756"/>
    </row>
    <row r="80" spans="1:45">
      <c r="A80" s="795"/>
      <c r="B80" s="757"/>
      <c r="C80" s="779"/>
      <c r="D80" s="773"/>
      <c r="E80" s="771"/>
      <c r="F80" s="769"/>
      <c r="G80" s="752"/>
      <c r="H80" s="777"/>
      <c r="I80" s="269">
        <v>3</v>
      </c>
      <c r="J80" s="397"/>
      <c r="K80" s="269"/>
      <c r="L80" s="269"/>
      <c r="M80" s="269"/>
      <c r="N80" s="274"/>
      <c r="O80" s="564"/>
      <c r="P80" s="396"/>
      <c r="Q80" s="386"/>
      <c r="R80" s="387">
        <f t="shared" si="2"/>
        <v>0</v>
      </c>
      <c r="S80" s="387"/>
      <c r="T80" s="386"/>
      <c r="U80" s="387">
        <f t="shared" si="3"/>
        <v>0</v>
      </c>
      <c r="V80" s="266"/>
      <c r="W80" s="386"/>
      <c r="X80" s="387">
        <f t="shared" si="4"/>
        <v>0</v>
      </c>
      <c r="Y80" s="266"/>
      <c r="Z80" s="386"/>
      <c r="AA80" s="387">
        <f t="shared" si="5"/>
        <v>0</v>
      </c>
      <c r="AB80" s="266"/>
      <c r="AC80" s="386"/>
      <c r="AD80" s="387">
        <f t="shared" si="6"/>
        <v>0</v>
      </c>
      <c r="AE80" s="266"/>
      <c r="AF80" s="386"/>
      <c r="AG80" s="387">
        <f t="shared" si="7"/>
        <v>0</v>
      </c>
      <c r="AH80" s="266"/>
      <c r="AI80" s="386"/>
      <c r="AJ80" s="387">
        <f t="shared" si="8"/>
        <v>0</v>
      </c>
      <c r="AK80" s="266"/>
      <c r="AL80" s="386"/>
      <c r="AM80" s="387">
        <f t="shared" si="9"/>
        <v>0</v>
      </c>
      <c r="AN80" s="388">
        <f t="shared" si="0"/>
        <v>0</v>
      </c>
      <c r="AO80" s="386">
        <f t="shared" si="1"/>
        <v>0</v>
      </c>
      <c r="AP80" s="751"/>
      <c r="AQ80" s="752"/>
      <c r="AR80" s="754"/>
      <c r="AS80" s="756"/>
    </row>
    <row r="81" spans="1:45">
      <c r="A81" s="795"/>
      <c r="B81" s="757"/>
      <c r="C81" s="779"/>
      <c r="D81" s="773"/>
      <c r="E81" s="771"/>
      <c r="F81" s="769"/>
      <c r="G81" s="752"/>
      <c r="H81" s="777"/>
      <c r="I81" s="269">
        <v>4</v>
      </c>
      <c r="J81" s="397"/>
      <c r="K81" s="269"/>
      <c r="L81" s="269"/>
      <c r="M81" s="269"/>
      <c r="N81" s="274"/>
      <c r="O81" s="564"/>
      <c r="P81" s="396"/>
      <c r="Q81" s="386"/>
      <c r="R81" s="387">
        <f t="shared" si="2"/>
        <v>0</v>
      </c>
      <c r="S81" s="387"/>
      <c r="T81" s="386"/>
      <c r="U81" s="387">
        <f t="shared" si="3"/>
        <v>0</v>
      </c>
      <c r="V81" s="266"/>
      <c r="W81" s="386"/>
      <c r="X81" s="387">
        <f t="shared" si="4"/>
        <v>0</v>
      </c>
      <c r="Y81" s="266"/>
      <c r="Z81" s="386"/>
      <c r="AA81" s="387">
        <f t="shared" si="5"/>
        <v>0</v>
      </c>
      <c r="AB81" s="266"/>
      <c r="AC81" s="386"/>
      <c r="AD81" s="387">
        <f t="shared" si="6"/>
        <v>0</v>
      </c>
      <c r="AE81" s="266"/>
      <c r="AF81" s="386"/>
      <c r="AG81" s="387">
        <f t="shared" si="7"/>
        <v>0</v>
      </c>
      <c r="AH81" s="266"/>
      <c r="AI81" s="386"/>
      <c r="AJ81" s="387">
        <f t="shared" si="8"/>
        <v>0</v>
      </c>
      <c r="AK81" s="266"/>
      <c r="AL81" s="386"/>
      <c r="AM81" s="387">
        <f t="shared" si="9"/>
        <v>0</v>
      </c>
      <c r="AN81" s="388">
        <f t="shared" si="0"/>
        <v>0</v>
      </c>
      <c r="AO81" s="386">
        <f t="shared" si="1"/>
        <v>0</v>
      </c>
      <c r="AP81" s="751"/>
      <c r="AQ81" s="752"/>
      <c r="AR81" s="754"/>
      <c r="AS81" s="756"/>
    </row>
    <row r="82" spans="1:45">
      <c r="A82" s="795"/>
      <c r="B82" s="757"/>
      <c r="C82" s="779"/>
      <c r="D82" s="773"/>
      <c r="E82" s="771"/>
      <c r="F82" s="769"/>
      <c r="G82" s="752"/>
      <c r="H82" s="777"/>
      <c r="I82" s="269">
        <v>5</v>
      </c>
      <c r="J82" s="397"/>
      <c r="K82" s="269"/>
      <c r="L82" s="269"/>
      <c r="M82" s="269"/>
      <c r="N82" s="274"/>
      <c r="O82" s="564"/>
      <c r="P82" s="396"/>
      <c r="Q82" s="386"/>
      <c r="R82" s="387">
        <f t="shared" si="2"/>
        <v>0</v>
      </c>
      <c r="S82" s="387"/>
      <c r="T82" s="386"/>
      <c r="U82" s="387">
        <f t="shared" si="3"/>
        <v>0</v>
      </c>
      <c r="V82" s="266"/>
      <c r="W82" s="386"/>
      <c r="X82" s="387">
        <f t="shared" si="4"/>
        <v>0</v>
      </c>
      <c r="Y82" s="266"/>
      <c r="Z82" s="386"/>
      <c r="AA82" s="387">
        <f t="shared" si="5"/>
        <v>0</v>
      </c>
      <c r="AB82" s="266"/>
      <c r="AC82" s="386"/>
      <c r="AD82" s="387">
        <f t="shared" si="6"/>
        <v>0</v>
      </c>
      <c r="AE82" s="266"/>
      <c r="AF82" s="386"/>
      <c r="AG82" s="387">
        <f t="shared" si="7"/>
        <v>0</v>
      </c>
      <c r="AH82" s="266"/>
      <c r="AI82" s="386"/>
      <c r="AJ82" s="387">
        <f t="shared" si="8"/>
        <v>0</v>
      </c>
      <c r="AK82" s="266"/>
      <c r="AL82" s="386"/>
      <c r="AM82" s="387">
        <f t="shared" si="9"/>
        <v>0</v>
      </c>
      <c r="AN82" s="388">
        <f t="shared" si="0"/>
        <v>0</v>
      </c>
      <c r="AO82" s="386">
        <f t="shared" si="1"/>
        <v>0</v>
      </c>
      <c r="AP82" s="751"/>
      <c r="AQ82" s="752"/>
      <c r="AR82" s="754"/>
      <c r="AS82" s="756"/>
    </row>
    <row r="83" spans="1:45">
      <c r="A83" s="795"/>
      <c r="B83" s="757"/>
      <c r="C83" s="779"/>
      <c r="D83" s="773"/>
      <c r="E83" s="771"/>
      <c r="F83" s="769"/>
      <c r="G83" s="752"/>
      <c r="H83" s="777"/>
      <c r="I83" s="269">
        <v>6</v>
      </c>
      <c r="J83" s="397"/>
      <c r="K83" s="269"/>
      <c r="L83" s="269"/>
      <c r="M83" s="269"/>
      <c r="N83" s="274"/>
      <c r="O83" s="564"/>
      <c r="P83" s="396"/>
      <c r="Q83" s="386"/>
      <c r="R83" s="387">
        <f t="shared" si="2"/>
        <v>0</v>
      </c>
      <c r="S83" s="387"/>
      <c r="T83" s="386"/>
      <c r="U83" s="387">
        <f t="shared" si="3"/>
        <v>0</v>
      </c>
      <c r="V83" s="266"/>
      <c r="W83" s="386"/>
      <c r="X83" s="387">
        <f t="shared" si="4"/>
        <v>0</v>
      </c>
      <c r="Y83" s="266"/>
      <c r="Z83" s="386"/>
      <c r="AA83" s="387">
        <f t="shared" si="5"/>
        <v>0</v>
      </c>
      <c r="AB83" s="266"/>
      <c r="AC83" s="386"/>
      <c r="AD83" s="387">
        <f t="shared" si="6"/>
        <v>0</v>
      </c>
      <c r="AE83" s="266"/>
      <c r="AF83" s="386"/>
      <c r="AG83" s="387">
        <f t="shared" si="7"/>
        <v>0</v>
      </c>
      <c r="AH83" s="266"/>
      <c r="AI83" s="386"/>
      <c r="AJ83" s="387">
        <f t="shared" si="8"/>
        <v>0</v>
      </c>
      <c r="AK83" s="266"/>
      <c r="AL83" s="386"/>
      <c r="AM83" s="387">
        <f t="shared" si="9"/>
        <v>0</v>
      </c>
      <c r="AN83" s="388">
        <f t="shared" si="0"/>
        <v>0</v>
      </c>
      <c r="AO83" s="386">
        <f t="shared" si="1"/>
        <v>0</v>
      </c>
      <c r="AP83" s="751"/>
      <c r="AQ83" s="752"/>
      <c r="AR83" s="754"/>
      <c r="AS83" s="756"/>
    </row>
    <row r="84" spans="1:45">
      <c r="A84" s="795"/>
      <c r="B84" s="757"/>
      <c r="C84" s="779"/>
      <c r="D84" s="773"/>
      <c r="E84" s="771"/>
      <c r="F84" s="769"/>
      <c r="G84" s="752"/>
      <c r="H84" s="777"/>
      <c r="I84" s="269">
        <v>7</v>
      </c>
      <c r="J84" s="397"/>
      <c r="K84" s="269"/>
      <c r="L84" s="269"/>
      <c r="M84" s="269"/>
      <c r="N84" s="274"/>
      <c r="O84" s="564"/>
      <c r="P84" s="396"/>
      <c r="Q84" s="386"/>
      <c r="R84" s="387">
        <f t="shared" ref="R84:R111" si="27">P84*Q84</f>
        <v>0</v>
      </c>
      <c r="S84" s="387"/>
      <c r="T84" s="386"/>
      <c r="U84" s="387">
        <f t="shared" si="3"/>
        <v>0</v>
      </c>
      <c r="V84" s="266"/>
      <c r="W84" s="386"/>
      <c r="X84" s="387">
        <f t="shared" si="4"/>
        <v>0</v>
      </c>
      <c r="Y84" s="266"/>
      <c r="Z84" s="386"/>
      <c r="AA84" s="387">
        <f t="shared" si="5"/>
        <v>0</v>
      </c>
      <c r="AB84" s="266"/>
      <c r="AC84" s="386"/>
      <c r="AD84" s="387">
        <f t="shared" si="6"/>
        <v>0</v>
      </c>
      <c r="AE84" s="266"/>
      <c r="AF84" s="386"/>
      <c r="AG84" s="387">
        <f t="shared" si="7"/>
        <v>0</v>
      </c>
      <c r="AH84" s="266"/>
      <c r="AI84" s="386"/>
      <c r="AJ84" s="387">
        <f t="shared" si="8"/>
        <v>0</v>
      </c>
      <c r="AK84" s="266"/>
      <c r="AL84" s="386"/>
      <c r="AM84" s="387">
        <f t="shared" si="9"/>
        <v>0</v>
      </c>
      <c r="AN84" s="388">
        <f t="shared" ref="AN84:AN111" si="28">AK84+AH84+AE84+AB84+Y84+V84+S84+P84</f>
        <v>0</v>
      </c>
      <c r="AO84" s="386">
        <f t="shared" ref="AO84:AO111" si="29">AM84+AJ84+AG84+AD84+AA84+X84+U84+R84</f>
        <v>0</v>
      </c>
      <c r="AP84" s="751"/>
      <c r="AQ84" s="752"/>
      <c r="AR84" s="754"/>
      <c r="AS84" s="756"/>
    </row>
    <row r="85" spans="1:45">
      <c r="A85" s="795"/>
      <c r="B85" s="757"/>
      <c r="C85" s="770"/>
      <c r="D85" s="780"/>
      <c r="E85" s="771"/>
      <c r="F85" s="769"/>
      <c r="G85" s="752"/>
      <c r="H85" s="781"/>
      <c r="I85" s="269">
        <v>8</v>
      </c>
      <c r="J85" s="397"/>
      <c r="K85" s="269"/>
      <c r="L85" s="269"/>
      <c r="M85" s="269"/>
      <c r="N85" s="274"/>
      <c r="O85" s="564"/>
      <c r="P85" s="396"/>
      <c r="Q85" s="386"/>
      <c r="R85" s="387">
        <f t="shared" si="27"/>
        <v>0</v>
      </c>
      <c r="S85" s="387"/>
      <c r="T85" s="386"/>
      <c r="U85" s="387">
        <f t="shared" ref="U85:U111" si="30">S85*T85</f>
        <v>0</v>
      </c>
      <c r="V85" s="266"/>
      <c r="W85" s="386"/>
      <c r="X85" s="387">
        <f t="shared" ref="X85:X111" si="31">V85*W85</f>
        <v>0</v>
      </c>
      <c r="Y85" s="266"/>
      <c r="Z85" s="386"/>
      <c r="AA85" s="387">
        <f t="shared" ref="AA85:AA111" si="32">Y85*Z85</f>
        <v>0</v>
      </c>
      <c r="AB85" s="266"/>
      <c r="AC85" s="386"/>
      <c r="AD85" s="387">
        <f t="shared" ref="AD85:AD111" si="33">AB85*AC85</f>
        <v>0</v>
      </c>
      <c r="AE85" s="266"/>
      <c r="AF85" s="386"/>
      <c r="AG85" s="387">
        <f t="shared" ref="AG85:AG111" si="34">AE85*AF85</f>
        <v>0</v>
      </c>
      <c r="AH85" s="266"/>
      <c r="AI85" s="386"/>
      <c r="AJ85" s="387">
        <f t="shared" ref="AJ85:AJ111" si="35">AH85*AI85</f>
        <v>0</v>
      </c>
      <c r="AK85" s="266"/>
      <c r="AL85" s="386"/>
      <c r="AM85" s="387">
        <f t="shared" ref="AM85:AM111" si="36">AK85*AL85</f>
        <v>0</v>
      </c>
      <c r="AN85" s="388">
        <f t="shared" si="28"/>
        <v>0</v>
      </c>
      <c r="AO85" s="386">
        <f t="shared" si="29"/>
        <v>0</v>
      </c>
      <c r="AP85" s="751"/>
      <c r="AQ85" s="752"/>
      <c r="AR85" s="765"/>
      <c r="AS85" s="766"/>
    </row>
    <row r="86" spans="1:45" ht="30">
      <c r="A86" s="795"/>
      <c r="B86" s="757"/>
      <c r="C86" s="772" t="s">
        <v>480</v>
      </c>
      <c r="D86" s="775">
        <f>1182</f>
        <v>1182</v>
      </c>
      <c r="E86" s="771">
        <v>20</v>
      </c>
      <c r="F86" s="769">
        <v>175634</v>
      </c>
      <c r="G86" s="752">
        <f>F86*D86</f>
        <v>207599388</v>
      </c>
      <c r="H86" s="776">
        <f>D86/E86</f>
        <v>59.1</v>
      </c>
      <c r="I86" s="269">
        <v>1</v>
      </c>
      <c r="J86" s="397" t="s">
        <v>482</v>
      </c>
      <c r="K86" s="269">
        <v>43628818</v>
      </c>
      <c r="L86" s="269" t="s">
        <v>550</v>
      </c>
      <c r="M86" s="269"/>
      <c r="N86" s="278" t="s">
        <v>215</v>
      </c>
      <c r="O86" s="565"/>
      <c r="P86" s="396"/>
      <c r="Q86" s="386"/>
      <c r="R86" s="387">
        <f t="shared" si="27"/>
        <v>0</v>
      </c>
      <c r="S86" s="387"/>
      <c r="T86" s="386"/>
      <c r="U86" s="387">
        <f t="shared" si="30"/>
        <v>0</v>
      </c>
      <c r="V86" s="266"/>
      <c r="W86" s="386"/>
      <c r="X86" s="387">
        <f t="shared" si="31"/>
        <v>0</v>
      </c>
      <c r="Y86" s="266"/>
      <c r="Z86" s="386"/>
      <c r="AA86" s="387">
        <f t="shared" si="32"/>
        <v>0</v>
      </c>
      <c r="AB86" s="266"/>
      <c r="AC86" s="386"/>
      <c r="AD86" s="387">
        <f t="shared" si="33"/>
        <v>0</v>
      </c>
      <c r="AE86" s="266"/>
      <c r="AF86" s="386"/>
      <c r="AG86" s="387">
        <f t="shared" si="34"/>
        <v>0</v>
      </c>
      <c r="AH86" s="266"/>
      <c r="AI86" s="386"/>
      <c r="AJ86" s="387">
        <f t="shared" si="35"/>
        <v>0</v>
      </c>
      <c r="AK86" s="266"/>
      <c r="AL86" s="386"/>
      <c r="AM86" s="387">
        <f t="shared" si="36"/>
        <v>0</v>
      </c>
      <c r="AN86" s="388">
        <f t="shared" si="28"/>
        <v>0</v>
      </c>
      <c r="AO86" s="386">
        <f t="shared" si="29"/>
        <v>0</v>
      </c>
      <c r="AP86" s="751">
        <f>SUM(AN86:AN92)</f>
        <v>0</v>
      </c>
      <c r="AQ86" s="752">
        <f>SUM(AO86:AO92)</f>
        <v>0</v>
      </c>
      <c r="AR86" s="753">
        <f>AP86-D86</f>
        <v>-1182</v>
      </c>
      <c r="AS86" s="755">
        <f>AQ86-G86</f>
        <v>-207599388</v>
      </c>
    </row>
    <row r="87" spans="1:45" ht="30">
      <c r="A87" s="795"/>
      <c r="B87" s="757"/>
      <c r="C87" s="773"/>
      <c r="D87" s="773"/>
      <c r="E87" s="771"/>
      <c r="F87" s="769"/>
      <c r="G87" s="752"/>
      <c r="H87" s="777"/>
      <c r="I87" s="269">
        <v>2</v>
      </c>
      <c r="J87" s="273" t="s">
        <v>551</v>
      </c>
      <c r="K87" s="269">
        <v>79051056</v>
      </c>
      <c r="L87" s="269"/>
      <c r="M87" s="269"/>
      <c r="N87" s="274" t="s">
        <v>215</v>
      </c>
      <c r="O87" s="564"/>
      <c r="P87" s="396"/>
      <c r="Q87" s="386"/>
      <c r="R87" s="387">
        <f t="shared" si="27"/>
        <v>0</v>
      </c>
      <c r="S87" s="387"/>
      <c r="T87" s="386"/>
      <c r="U87" s="387">
        <f t="shared" si="30"/>
        <v>0</v>
      </c>
      <c r="V87" s="266"/>
      <c r="W87" s="386"/>
      <c r="X87" s="387">
        <f t="shared" si="31"/>
        <v>0</v>
      </c>
      <c r="Y87" s="266"/>
      <c r="Z87" s="386"/>
      <c r="AA87" s="387">
        <f t="shared" si="32"/>
        <v>0</v>
      </c>
      <c r="AB87" s="266"/>
      <c r="AC87" s="386"/>
      <c r="AD87" s="387">
        <f t="shared" si="33"/>
        <v>0</v>
      </c>
      <c r="AE87" s="266"/>
      <c r="AF87" s="386"/>
      <c r="AG87" s="387">
        <f t="shared" si="34"/>
        <v>0</v>
      </c>
      <c r="AH87" s="266"/>
      <c r="AI87" s="386"/>
      <c r="AJ87" s="387">
        <f t="shared" si="35"/>
        <v>0</v>
      </c>
      <c r="AK87" s="266"/>
      <c r="AL87" s="386"/>
      <c r="AM87" s="387">
        <f t="shared" si="36"/>
        <v>0</v>
      </c>
      <c r="AN87" s="388">
        <f t="shared" si="28"/>
        <v>0</v>
      </c>
      <c r="AO87" s="386">
        <f t="shared" si="29"/>
        <v>0</v>
      </c>
      <c r="AP87" s="751"/>
      <c r="AQ87" s="752"/>
      <c r="AR87" s="754"/>
      <c r="AS87" s="756"/>
    </row>
    <row r="88" spans="1:45" ht="30">
      <c r="A88" s="795"/>
      <c r="B88" s="757"/>
      <c r="C88" s="773"/>
      <c r="D88" s="773"/>
      <c r="E88" s="771"/>
      <c r="F88" s="769"/>
      <c r="G88" s="752"/>
      <c r="H88" s="777"/>
      <c r="I88" s="269">
        <v>3</v>
      </c>
      <c r="J88" s="273" t="s">
        <v>552</v>
      </c>
      <c r="K88" s="269">
        <v>8028747</v>
      </c>
      <c r="L88" s="269"/>
      <c r="M88" s="269"/>
      <c r="N88" s="274" t="s">
        <v>215</v>
      </c>
      <c r="O88" s="564"/>
      <c r="P88" s="396"/>
      <c r="Q88" s="386"/>
      <c r="R88" s="387">
        <f t="shared" si="27"/>
        <v>0</v>
      </c>
      <c r="S88" s="387"/>
      <c r="T88" s="386"/>
      <c r="U88" s="387">
        <f t="shared" si="30"/>
        <v>0</v>
      </c>
      <c r="V88" s="266"/>
      <c r="W88" s="386"/>
      <c r="X88" s="387">
        <f t="shared" si="31"/>
        <v>0</v>
      </c>
      <c r="Y88" s="266"/>
      <c r="Z88" s="386"/>
      <c r="AA88" s="387">
        <f t="shared" si="32"/>
        <v>0</v>
      </c>
      <c r="AB88" s="266"/>
      <c r="AC88" s="386"/>
      <c r="AD88" s="387">
        <f t="shared" si="33"/>
        <v>0</v>
      </c>
      <c r="AE88" s="266"/>
      <c r="AF88" s="386"/>
      <c r="AG88" s="387">
        <f t="shared" si="34"/>
        <v>0</v>
      </c>
      <c r="AH88" s="266"/>
      <c r="AI88" s="386"/>
      <c r="AJ88" s="387">
        <f t="shared" si="35"/>
        <v>0</v>
      </c>
      <c r="AK88" s="266"/>
      <c r="AL88" s="386"/>
      <c r="AM88" s="387">
        <f t="shared" si="36"/>
        <v>0</v>
      </c>
      <c r="AN88" s="388">
        <f t="shared" si="28"/>
        <v>0</v>
      </c>
      <c r="AO88" s="386">
        <f t="shared" si="29"/>
        <v>0</v>
      </c>
      <c r="AP88" s="751"/>
      <c r="AQ88" s="752"/>
      <c r="AR88" s="754"/>
      <c r="AS88" s="756"/>
    </row>
    <row r="89" spans="1:45" ht="30">
      <c r="A89" s="795"/>
      <c r="B89" s="757"/>
      <c r="C89" s="773"/>
      <c r="D89" s="773"/>
      <c r="E89" s="771"/>
      <c r="F89" s="769"/>
      <c r="G89" s="752"/>
      <c r="H89" s="777"/>
      <c r="I89" s="269">
        <v>4</v>
      </c>
      <c r="J89" s="273" t="s">
        <v>553</v>
      </c>
      <c r="K89" s="269">
        <v>80723718</v>
      </c>
      <c r="L89" s="269"/>
      <c r="M89" s="269"/>
      <c r="N89" s="274" t="s">
        <v>215</v>
      </c>
      <c r="O89" s="564"/>
      <c r="P89" s="396"/>
      <c r="Q89" s="386"/>
      <c r="R89" s="387">
        <f t="shared" si="27"/>
        <v>0</v>
      </c>
      <c r="S89" s="387"/>
      <c r="T89" s="386"/>
      <c r="U89" s="387">
        <f t="shared" si="30"/>
        <v>0</v>
      </c>
      <c r="V89" s="266"/>
      <c r="W89" s="386"/>
      <c r="X89" s="387">
        <f t="shared" si="31"/>
        <v>0</v>
      </c>
      <c r="Y89" s="266"/>
      <c r="Z89" s="386"/>
      <c r="AA89" s="387">
        <f t="shared" si="32"/>
        <v>0</v>
      </c>
      <c r="AB89" s="266"/>
      <c r="AC89" s="386"/>
      <c r="AD89" s="387">
        <f t="shared" si="33"/>
        <v>0</v>
      </c>
      <c r="AE89" s="266"/>
      <c r="AF89" s="386"/>
      <c r="AG89" s="387">
        <f t="shared" si="34"/>
        <v>0</v>
      </c>
      <c r="AH89" s="266"/>
      <c r="AI89" s="386"/>
      <c r="AJ89" s="387">
        <f t="shared" si="35"/>
        <v>0</v>
      </c>
      <c r="AK89" s="266"/>
      <c r="AL89" s="386"/>
      <c r="AM89" s="387">
        <f t="shared" si="36"/>
        <v>0</v>
      </c>
      <c r="AN89" s="388">
        <f t="shared" si="28"/>
        <v>0</v>
      </c>
      <c r="AO89" s="386">
        <f t="shared" si="29"/>
        <v>0</v>
      </c>
      <c r="AP89" s="751"/>
      <c r="AQ89" s="752"/>
      <c r="AR89" s="754"/>
      <c r="AS89" s="756"/>
    </row>
    <row r="90" spans="1:45" ht="30">
      <c r="A90" s="795"/>
      <c r="B90" s="757"/>
      <c r="C90" s="773"/>
      <c r="D90" s="773"/>
      <c r="E90" s="771"/>
      <c r="F90" s="769"/>
      <c r="G90" s="752"/>
      <c r="H90" s="777"/>
      <c r="I90" s="269">
        <v>5</v>
      </c>
      <c r="J90" s="273" t="s">
        <v>554</v>
      </c>
      <c r="K90" s="269">
        <v>52157232</v>
      </c>
      <c r="L90" s="269"/>
      <c r="M90" s="269"/>
      <c r="N90" s="274" t="s">
        <v>215</v>
      </c>
      <c r="O90" s="564"/>
      <c r="P90" s="396"/>
      <c r="Q90" s="386"/>
      <c r="R90" s="387">
        <f t="shared" si="27"/>
        <v>0</v>
      </c>
      <c r="S90" s="387"/>
      <c r="T90" s="386"/>
      <c r="U90" s="387">
        <f t="shared" si="30"/>
        <v>0</v>
      </c>
      <c r="V90" s="266"/>
      <c r="W90" s="386"/>
      <c r="X90" s="387">
        <f t="shared" si="31"/>
        <v>0</v>
      </c>
      <c r="Y90" s="266"/>
      <c r="Z90" s="386"/>
      <c r="AA90" s="387">
        <f t="shared" si="32"/>
        <v>0</v>
      </c>
      <c r="AB90" s="266"/>
      <c r="AC90" s="386"/>
      <c r="AD90" s="387">
        <f t="shared" si="33"/>
        <v>0</v>
      </c>
      <c r="AE90" s="266"/>
      <c r="AF90" s="386"/>
      <c r="AG90" s="387">
        <f t="shared" si="34"/>
        <v>0</v>
      </c>
      <c r="AH90" s="266"/>
      <c r="AI90" s="386"/>
      <c r="AJ90" s="387">
        <f t="shared" si="35"/>
        <v>0</v>
      </c>
      <c r="AK90" s="266"/>
      <c r="AL90" s="386"/>
      <c r="AM90" s="387">
        <f t="shared" si="36"/>
        <v>0</v>
      </c>
      <c r="AN90" s="388">
        <f t="shared" si="28"/>
        <v>0</v>
      </c>
      <c r="AO90" s="386">
        <f t="shared" si="29"/>
        <v>0</v>
      </c>
      <c r="AP90" s="751"/>
      <c r="AQ90" s="752"/>
      <c r="AR90" s="754"/>
      <c r="AS90" s="756"/>
    </row>
    <row r="91" spans="1:45">
      <c r="A91" s="795"/>
      <c r="B91" s="757"/>
      <c r="C91" s="773"/>
      <c r="D91" s="773"/>
      <c r="E91" s="771"/>
      <c r="F91" s="769"/>
      <c r="G91" s="752"/>
      <c r="H91" s="777"/>
      <c r="I91" s="269"/>
      <c r="J91" s="273"/>
      <c r="K91" s="269"/>
      <c r="L91" s="269"/>
      <c r="M91" s="269"/>
      <c r="N91" s="274"/>
      <c r="O91" s="564"/>
      <c r="P91" s="396"/>
      <c r="Q91" s="386"/>
      <c r="R91" s="387">
        <f t="shared" si="27"/>
        <v>0</v>
      </c>
      <c r="S91" s="387"/>
      <c r="T91" s="386"/>
      <c r="U91" s="387">
        <f t="shared" si="30"/>
        <v>0</v>
      </c>
      <c r="V91" s="266"/>
      <c r="W91" s="386"/>
      <c r="X91" s="387">
        <f t="shared" si="31"/>
        <v>0</v>
      </c>
      <c r="Y91" s="266"/>
      <c r="Z91" s="386"/>
      <c r="AA91" s="387">
        <f t="shared" si="32"/>
        <v>0</v>
      </c>
      <c r="AB91" s="266"/>
      <c r="AC91" s="386"/>
      <c r="AD91" s="387">
        <f t="shared" si="33"/>
        <v>0</v>
      </c>
      <c r="AE91" s="266"/>
      <c r="AF91" s="386"/>
      <c r="AG91" s="387">
        <f t="shared" si="34"/>
        <v>0</v>
      </c>
      <c r="AH91" s="266"/>
      <c r="AI91" s="386"/>
      <c r="AJ91" s="387">
        <f t="shared" si="35"/>
        <v>0</v>
      </c>
      <c r="AK91" s="266"/>
      <c r="AL91" s="386"/>
      <c r="AM91" s="387">
        <f t="shared" si="36"/>
        <v>0</v>
      </c>
      <c r="AN91" s="388">
        <f t="shared" si="28"/>
        <v>0</v>
      </c>
      <c r="AO91" s="386">
        <f t="shared" si="29"/>
        <v>0</v>
      </c>
      <c r="AP91" s="751"/>
      <c r="AQ91" s="752"/>
      <c r="AR91" s="754"/>
      <c r="AS91" s="756"/>
    </row>
    <row r="92" spans="1:45">
      <c r="A92" s="795"/>
      <c r="B92" s="757"/>
      <c r="C92" s="774"/>
      <c r="D92" s="774"/>
      <c r="E92" s="771"/>
      <c r="F92" s="769"/>
      <c r="G92" s="752"/>
      <c r="H92" s="777"/>
      <c r="I92" s="376"/>
      <c r="J92" s="265"/>
      <c r="K92" s="269"/>
      <c r="L92" s="269"/>
      <c r="M92" s="269"/>
      <c r="N92" s="274"/>
      <c r="O92" s="564"/>
      <c r="P92" s="396"/>
      <c r="Q92" s="386"/>
      <c r="R92" s="387">
        <f t="shared" si="27"/>
        <v>0</v>
      </c>
      <c r="S92" s="387"/>
      <c r="T92" s="386"/>
      <c r="U92" s="387">
        <f t="shared" si="30"/>
        <v>0</v>
      </c>
      <c r="V92" s="266"/>
      <c r="W92" s="386"/>
      <c r="X92" s="387">
        <f t="shared" si="31"/>
        <v>0</v>
      </c>
      <c r="Y92" s="266"/>
      <c r="Z92" s="386"/>
      <c r="AA92" s="387">
        <f t="shared" si="32"/>
        <v>0</v>
      </c>
      <c r="AB92" s="266"/>
      <c r="AC92" s="386"/>
      <c r="AD92" s="387">
        <f t="shared" si="33"/>
        <v>0</v>
      </c>
      <c r="AE92" s="266"/>
      <c r="AF92" s="386"/>
      <c r="AG92" s="387">
        <f t="shared" si="34"/>
        <v>0</v>
      </c>
      <c r="AH92" s="266"/>
      <c r="AI92" s="386"/>
      <c r="AJ92" s="387">
        <f t="shared" si="35"/>
        <v>0</v>
      </c>
      <c r="AK92" s="266"/>
      <c r="AL92" s="386"/>
      <c r="AM92" s="387">
        <f t="shared" si="36"/>
        <v>0</v>
      </c>
      <c r="AN92" s="388">
        <f t="shared" si="28"/>
        <v>0</v>
      </c>
      <c r="AO92" s="386">
        <f t="shared" si="29"/>
        <v>0</v>
      </c>
      <c r="AP92" s="751"/>
      <c r="AQ92" s="752"/>
      <c r="AR92" s="765"/>
      <c r="AS92" s="766"/>
    </row>
    <row r="93" spans="1:45" ht="39.75">
      <c r="A93" s="795"/>
      <c r="B93" s="770" t="s">
        <v>217</v>
      </c>
      <c r="C93" s="778" t="s">
        <v>218</v>
      </c>
      <c r="D93" s="674">
        <v>1044</v>
      </c>
      <c r="E93" s="674">
        <v>13</v>
      </c>
      <c r="F93" s="763">
        <v>175634</v>
      </c>
      <c r="G93" s="763">
        <f>F93*D93</f>
        <v>183361896</v>
      </c>
      <c r="H93" s="853">
        <f>D93/E93</f>
        <v>80.307692307692307</v>
      </c>
      <c r="I93" s="215">
        <v>1</v>
      </c>
      <c r="J93" s="401" t="s">
        <v>489</v>
      </c>
      <c r="K93" s="215">
        <v>9733036</v>
      </c>
      <c r="L93" s="215" t="s">
        <v>555</v>
      </c>
      <c r="M93" s="215"/>
      <c r="N93" s="274" t="s">
        <v>219</v>
      </c>
      <c r="O93" s="564"/>
      <c r="P93" s="396"/>
      <c r="Q93" s="386"/>
      <c r="R93" s="387">
        <f t="shared" si="27"/>
        <v>0</v>
      </c>
      <c r="S93" s="387"/>
      <c r="T93" s="386"/>
      <c r="U93" s="387">
        <f t="shared" si="30"/>
        <v>0</v>
      </c>
      <c r="V93" s="266"/>
      <c r="W93" s="386"/>
      <c r="X93" s="387">
        <f t="shared" si="31"/>
        <v>0</v>
      </c>
      <c r="Y93" s="266"/>
      <c r="Z93" s="386"/>
      <c r="AA93" s="387">
        <f t="shared" si="32"/>
        <v>0</v>
      </c>
      <c r="AB93" s="266"/>
      <c r="AC93" s="386"/>
      <c r="AD93" s="387">
        <f t="shared" si="33"/>
        <v>0</v>
      </c>
      <c r="AE93" s="266"/>
      <c r="AF93" s="386"/>
      <c r="AG93" s="387">
        <f t="shared" si="34"/>
        <v>0</v>
      </c>
      <c r="AH93" s="266"/>
      <c r="AI93" s="386"/>
      <c r="AJ93" s="387">
        <f t="shared" si="35"/>
        <v>0</v>
      </c>
      <c r="AK93" s="266"/>
      <c r="AL93" s="386"/>
      <c r="AM93" s="387">
        <f t="shared" si="36"/>
        <v>0</v>
      </c>
      <c r="AN93" s="388">
        <f>AK93+AH93+AE93+AB93+Y93+V93+S93+P93</f>
        <v>0</v>
      </c>
      <c r="AO93" s="386">
        <f t="shared" si="29"/>
        <v>0</v>
      </c>
      <c r="AP93" s="761">
        <f>AN93+AN94+AN95</f>
        <v>0</v>
      </c>
      <c r="AQ93" s="763">
        <f>AO93+AO94+AO95</f>
        <v>0</v>
      </c>
      <c r="AR93" s="753">
        <f>AP93-D93</f>
        <v>-1044</v>
      </c>
      <c r="AS93" s="755">
        <f>AQ93-G93</f>
        <v>-183361896</v>
      </c>
    </row>
    <row r="94" spans="1:45" ht="39.75">
      <c r="A94" s="795"/>
      <c r="B94" s="770"/>
      <c r="C94" s="779"/>
      <c r="D94" s="791"/>
      <c r="E94" s="791"/>
      <c r="F94" s="852"/>
      <c r="G94" s="852"/>
      <c r="H94" s="854"/>
      <c r="I94" s="215">
        <v>2</v>
      </c>
      <c r="J94" s="401" t="s">
        <v>495</v>
      </c>
      <c r="K94" s="215">
        <v>1030659632</v>
      </c>
      <c r="L94" s="215" t="s">
        <v>556</v>
      </c>
      <c r="M94" s="215"/>
      <c r="N94" s="274" t="s">
        <v>219</v>
      </c>
      <c r="O94" s="564"/>
      <c r="P94" s="396"/>
      <c r="Q94" s="386"/>
      <c r="R94" s="387"/>
      <c r="S94" s="387"/>
      <c r="T94" s="386"/>
      <c r="U94" s="387"/>
      <c r="V94" s="266"/>
      <c r="W94" s="386"/>
      <c r="X94" s="387"/>
      <c r="Y94" s="266"/>
      <c r="Z94" s="386"/>
      <c r="AA94" s="387"/>
      <c r="AB94" s="266"/>
      <c r="AC94" s="386"/>
      <c r="AD94" s="387"/>
      <c r="AE94" s="266"/>
      <c r="AF94" s="386"/>
      <c r="AG94" s="387"/>
      <c r="AH94" s="266"/>
      <c r="AI94" s="386"/>
      <c r="AJ94" s="387"/>
      <c r="AK94" s="266"/>
      <c r="AL94" s="386"/>
      <c r="AM94" s="387">
        <f t="shared" si="36"/>
        <v>0</v>
      </c>
      <c r="AN94" s="388">
        <f t="shared" ref="AN94:AN95" si="37">AK94+AH94+AE94+AB94+Y94+V94+S94+P94</f>
        <v>0</v>
      </c>
      <c r="AO94" s="386">
        <f t="shared" si="29"/>
        <v>0</v>
      </c>
      <c r="AP94" s="856"/>
      <c r="AQ94" s="852"/>
      <c r="AR94" s="754"/>
      <c r="AS94" s="756"/>
    </row>
    <row r="95" spans="1:45" ht="39.75">
      <c r="A95" s="795"/>
      <c r="B95" s="770"/>
      <c r="C95" s="770"/>
      <c r="D95" s="675"/>
      <c r="E95" s="675"/>
      <c r="F95" s="764"/>
      <c r="G95" s="764"/>
      <c r="H95" s="855"/>
      <c r="I95" s="548">
        <v>3</v>
      </c>
      <c r="J95" s="401" t="s">
        <v>557</v>
      </c>
      <c r="K95" s="215">
        <v>1020810585</v>
      </c>
      <c r="L95" s="215"/>
      <c r="M95" s="215"/>
      <c r="N95" s="274" t="s">
        <v>219</v>
      </c>
      <c r="O95" s="564"/>
      <c r="P95" s="396"/>
      <c r="Q95" s="386"/>
      <c r="R95" s="387"/>
      <c r="S95" s="387"/>
      <c r="T95" s="386"/>
      <c r="U95" s="387"/>
      <c r="V95" s="266"/>
      <c r="W95" s="386"/>
      <c r="X95" s="387"/>
      <c r="Y95" s="266"/>
      <c r="Z95" s="386"/>
      <c r="AA95" s="387"/>
      <c r="AB95" s="266"/>
      <c r="AC95" s="386"/>
      <c r="AD95" s="387"/>
      <c r="AE95" s="266"/>
      <c r="AF95" s="386"/>
      <c r="AG95" s="387"/>
      <c r="AH95" s="266"/>
      <c r="AI95" s="386"/>
      <c r="AJ95" s="387"/>
      <c r="AK95" s="266"/>
      <c r="AL95" s="386"/>
      <c r="AM95" s="387">
        <f t="shared" si="36"/>
        <v>0</v>
      </c>
      <c r="AN95" s="388">
        <f t="shared" si="37"/>
        <v>0</v>
      </c>
      <c r="AO95" s="386">
        <f t="shared" si="29"/>
        <v>0</v>
      </c>
      <c r="AP95" s="762"/>
      <c r="AQ95" s="764"/>
      <c r="AR95" s="765"/>
      <c r="AS95" s="766"/>
    </row>
    <row r="96" spans="1:45" ht="48.75">
      <c r="A96" s="795"/>
      <c r="B96" s="771"/>
      <c r="C96" s="566" t="s">
        <v>221</v>
      </c>
      <c r="D96" s="674">
        <v>192</v>
      </c>
      <c r="E96" s="674">
        <v>2</v>
      </c>
      <c r="F96" s="763">
        <v>175634</v>
      </c>
      <c r="G96" s="763">
        <f t="shared" ref="G96:G99" si="38">F96*D96</f>
        <v>33721728</v>
      </c>
      <c r="H96" s="857">
        <f>D96/E96</f>
        <v>96</v>
      </c>
      <c r="I96" s="215">
        <v>1</v>
      </c>
      <c r="J96" s="405" t="s">
        <v>558</v>
      </c>
      <c r="K96" s="567">
        <v>79848806</v>
      </c>
      <c r="L96" s="215"/>
      <c r="M96" s="215"/>
      <c r="N96" s="274" t="s">
        <v>222</v>
      </c>
      <c r="O96" s="564"/>
      <c r="P96" s="396"/>
      <c r="Q96" s="386"/>
      <c r="R96" s="387">
        <f t="shared" si="27"/>
        <v>0</v>
      </c>
      <c r="S96" s="387"/>
      <c r="T96" s="386"/>
      <c r="U96" s="387">
        <f t="shared" si="30"/>
        <v>0</v>
      </c>
      <c r="V96" s="266"/>
      <c r="W96" s="386"/>
      <c r="X96" s="387">
        <f t="shared" si="31"/>
        <v>0</v>
      </c>
      <c r="Y96" s="266"/>
      <c r="Z96" s="386"/>
      <c r="AA96" s="387">
        <f t="shared" si="32"/>
        <v>0</v>
      </c>
      <c r="AB96" s="266"/>
      <c r="AC96" s="386"/>
      <c r="AD96" s="387">
        <f t="shared" si="33"/>
        <v>0</v>
      </c>
      <c r="AE96" s="266"/>
      <c r="AF96" s="386"/>
      <c r="AG96" s="387">
        <f t="shared" si="34"/>
        <v>0</v>
      </c>
      <c r="AH96" s="266"/>
      <c r="AI96" s="386"/>
      <c r="AJ96" s="387">
        <f t="shared" si="35"/>
        <v>0</v>
      </c>
      <c r="AK96" s="266"/>
      <c r="AL96" s="386"/>
      <c r="AM96" s="387">
        <f t="shared" si="36"/>
        <v>0</v>
      </c>
      <c r="AN96" s="388">
        <f t="shared" si="28"/>
        <v>0</v>
      </c>
      <c r="AO96" s="386">
        <f t="shared" si="29"/>
        <v>0</v>
      </c>
      <c r="AP96" s="761">
        <f>AN96+AN97</f>
        <v>0</v>
      </c>
      <c r="AQ96" s="763">
        <f>AO96+AO97</f>
        <v>0</v>
      </c>
      <c r="AR96" s="753">
        <f t="shared" ref="AR96:AR98" si="39">AP96-D96</f>
        <v>-192</v>
      </c>
      <c r="AS96" s="755">
        <f>AQ96-G96</f>
        <v>-33721728</v>
      </c>
    </row>
    <row r="97" spans="1:45" ht="48.75">
      <c r="A97" s="795"/>
      <c r="B97" s="771"/>
      <c r="C97" s="270" t="s">
        <v>224</v>
      </c>
      <c r="D97" s="791"/>
      <c r="E97" s="675"/>
      <c r="F97" s="852"/>
      <c r="G97" s="852"/>
      <c r="H97" s="858"/>
      <c r="I97" s="215">
        <v>2</v>
      </c>
      <c r="J97" s="405" t="s">
        <v>559</v>
      </c>
      <c r="K97" s="567">
        <v>80738522</v>
      </c>
      <c r="L97" s="215"/>
      <c r="M97" s="215"/>
      <c r="N97" s="274" t="s">
        <v>222</v>
      </c>
      <c r="O97" s="564"/>
      <c r="P97" s="396"/>
      <c r="Q97" s="386"/>
      <c r="R97" s="387"/>
      <c r="S97" s="387"/>
      <c r="T97" s="386"/>
      <c r="U97" s="387"/>
      <c r="V97" s="266"/>
      <c r="W97" s="386"/>
      <c r="X97" s="387"/>
      <c r="Y97" s="266"/>
      <c r="Z97" s="386"/>
      <c r="AA97" s="387"/>
      <c r="AB97" s="266"/>
      <c r="AC97" s="386"/>
      <c r="AD97" s="387"/>
      <c r="AE97" s="266"/>
      <c r="AF97" s="386"/>
      <c r="AG97" s="387"/>
      <c r="AH97" s="266"/>
      <c r="AI97" s="386"/>
      <c r="AJ97" s="387"/>
      <c r="AK97" s="266"/>
      <c r="AL97" s="386"/>
      <c r="AM97" s="387">
        <f t="shared" si="36"/>
        <v>0</v>
      </c>
      <c r="AN97" s="388">
        <f t="shared" si="28"/>
        <v>0</v>
      </c>
      <c r="AO97" s="386">
        <f t="shared" si="29"/>
        <v>0</v>
      </c>
      <c r="AP97" s="856"/>
      <c r="AQ97" s="852"/>
      <c r="AR97" s="754"/>
      <c r="AS97" s="756"/>
    </row>
    <row r="98" spans="1:45">
      <c r="A98" s="795"/>
      <c r="B98" s="771"/>
      <c r="C98" s="270" t="s">
        <v>227</v>
      </c>
      <c r="D98" s="268">
        <v>336</v>
      </c>
      <c r="E98" s="215">
        <v>3</v>
      </c>
      <c r="F98" s="398">
        <v>175634</v>
      </c>
      <c r="G98" s="399">
        <f t="shared" si="38"/>
        <v>59013024</v>
      </c>
      <c r="H98" s="400">
        <f>D98/E98</f>
        <v>112</v>
      </c>
      <c r="I98" s="272">
        <v>3</v>
      </c>
      <c r="J98" s="405"/>
      <c r="K98" s="215"/>
      <c r="L98" s="215"/>
      <c r="M98" s="215"/>
      <c r="N98" s="274"/>
      <c r="O98" s="564"/>
      <c r="P98" s="396"/>
      <c r="Q98" s="386"/>
      <c r="R98" s="387">
        <f t="shared" si="27"/>
        <v>0</v>
      </c>
      <c r="S98" s="387"/>
      <c r="T98" s="386"/>
      <c r="U98" s="387">
        <f t="shared" si="30"/>
        <v>0</v>
      </c>
      <c r="V98" s="266"/>
      <c r="W98" s="386"/>
      <c r="X98" s="387">
        <f t="shared" si="31"/>
        <v>0</v>
      </c>
      <c r="Y98" s="266"/>
      <c r="Z98" s="386"/>
      <c r="AA98" s="387">
        <f t="shared" si="32"/>
        <v>0</v>
      </c>
      <c r="AB98" s="266"/>
      <c r="AC98" s="386"/>
      <c r="AD98" s="387">
        <f t="shared" si="33"/>
        <v>0</v>
      </c>
      <c r="AE98" s="266"/>
      <c r="AF98" s="386"/>
      <c r="AG98" s="387">
        <f t="shared" si="34"/>
        <v>0</v>
      </c>
      <c r="AH98" s="266"/>
      <c r="AI98" s="386"/>
      <c r="AJ98" s="387">
        <f t="shared" si="35"/>
        <v>0</v>
      </c>
      <c r="AK98" s="266"/>
      <c r="AL98" s="386"/>
      <c r="AM98" s="387">
        <f t="shared" si="36"/>
        <v>0</v>
      </c>
      <c r="AN98" s="388">
        <f t="shared" si="28"/>
        <v>0</v>
      </c>
      <c r="AO98" s="386">
        <f t="shared" si="29"/>
        <v>0</v>
      </c>
      <c r="AP98" s="402">
        <f>AN98</f>
        <v>0</v>
      </c>
      <c r="AQ98" s="399">
        <f>AO98</f>
        <v>0</v>
      </c>
      <c r="AR98" s="403">
        <f t="shared" si="39"/>
        <v>-336</v>
      </c>
      <c r="AS98" s="404">
        <f t="shared" ref="AS98:AS99" si="40">AQ98-G98</f>
        <v>-59013024</v>
      </c>
    </row>
    <row r="99" spans="1:45" ht="11.25" customHeight="1">
      <c r="A99" s="795"/>
      <c r="B99" s="771"/>
      <c r="C99" s="778" t="s">
        <v>230</v>
      </c>
      <c r="D99" s="674">
        <v>336</v>
      </c>
      <c r="E99" s="674">
        <v>3</v>
      </c>
      <c r="F99" s="763">
        <v>175634</v>
      </c>
      <c r="G99" s="763">
        <f t="shared" si="38"/>
        <v>59013024</v>
      </c>
      <c r="H99" s="853">
        <f>D99/E99</f>
        <v>112</v>
      </c>
      <c r="I99" s="215">
        <v>1</v>
      </c>
      <c r="J99" s="405" t="s">
        <v>488</v>
      </c>
      <c r="K99" s="215">
        <v>41948028</v>
      </c>
      <c r="L99" s="215" t="s">
        <v>560</v>
      </c>
      <c r="M99" s="215"/>
      <c r="N99" s="274" t="s">
        <v>231</v>
      </c>
      <c r="O99" s="564"/>
      <c r="P99" s="396"/>
      <c r="Q99" s="386"/>
      <c r="R99" s="387">
        <f t="shared" si="27"/>
        <v>0</v>
      </c>
      <c r="S99" s="387"/>
      <c r="T99" s="386"/>
      <c r="U99" s="387">
        <f t="shared" si="30"/>
        <v>0</v>
      </c>
      <c r="V99" s="266"/>
      <c r="W99" s="386"/>
      <c r="X99" s="387">
        <f t="shared" si="31"/>
        <v>0</v>
      </c>
      <c r="Y99" s="266"/>
      <c r="Z99" s="386"/>
      <c r="AA99" s="387">
        <f t="shared" si="32"/>
        <v>0</v>
      </c>
      <c r="AB99" s="266"/>
      <c r="AC99" s="386"/>
      <c r="AD99" s="387">
        <f t="shared" si="33"/>
        <v>0</v>
      </c>
      <c r="AE99" s="266"/>
      <c r="AF99" s="386"/>
      <c r="AG99" s="387">
        <f t="shared" si="34"/>
        <v>0</v>
      </c>
      <c r="AH99" s="266"/>
      <c r="AI99" s="386"/>
      <c r="AJ99" s="387">
        <f t="shared" si="35"/>
        <v>0</v>
      </c>
      <c r="AK99" s="266"/>
      <c r="AL99" s="386"/>
      <c r="AM99" s="387">
        <f t="shared" si="36"/>
        <v>0</v>
      </c>
      <c r="AN99" s="388">
        <f t="shared" si="28"/>
        <v>0</v>
      </c>
      <c r="AO99" s="386">
        <f t="shared" si="29"/>
        <v>0</v>
      </c>
      <c r="AP99" s="761">
        <f>AN99+AN100+AN101+AN102</f>
        <v>0</v>
      </c>
      <c r="AQ99" s="763">
        <f>AO99+AO100+AO101+AO102</f>
        <v>0</v>
      </c>
      <c r="AR99" s="753">
        <f>AP99-D99</f>
        <v>-336</v>
      </c>
      <c r="AS99" s="755">
        <f t="shared" si="40"/>
        <v>-59013024</v>
      </c>
    </row>
    <row r="100" spans="1:45" ht="30">
      <c r="A100" s="795"/>
      <c r="B100" s="771"/>
      <c r="C100" s="779"/>
      <c r="D100" s="791"/>
      <c r="E100" s="791"/>
      <c r="F100" s="852"/>
      <c r="G100" s="852"/>
      <c r="H100" s="854"/>
      <c r="I100" s="215">
        <v>2</v>
      </c>
      <c r="J100" s="405" t="s">
        <v>493</v>
      </c>
      <c r="K100" s="215">
        <v>51838200</v>
      </c>
      <c r="L100" s="215" t="s">
        <v>561</v>
      </c>
      <c r="M100" s="215"/>
      <c r="N100" s="274" t="s">
        <v>231</v>
      </c>
      <c r="O100" s="564"/>
      <c r="P100" s="396"/>
      <c r="Q100" s="386"/>
      <c r="R100" s="387">
        <f t="shared" si="27"/>
        <v>0</v>
      </c>
      <c r="S100" s="387"/>
      <c r="T100" s="386"/>
      <c r="U100" s="387">
        <f t="shared" si="30"/>
        <v>0</v>
      </c>
      <c r="V100" s="266"/>
      <c r="W100" s="386"/>
      <c r="X100" s="387">
        <f t="shared" si="31"/>
        <v>0</v>
      </c>
      <c r="Y100" s="266"/>
      <c r="Z100" s="386"/>
      <c r="AA100" s="387">
        <f t="shared" si="32"/>
        <v>0</v>
      </c>
      <c r="AB100" s="266"/>
      <c r="AC100" s="386"/>
      <c r="AD100" s="387">
        <f t="shared" si="33"/>
        <v>0</v>
      </c>
      <c r="AE100" s="266"/>
      <c r="AF100" s="386"/>
      <c r="AG100" s="387">
        <f t="shared" si="34"/>
        <v>0</v>
      </c>
      <c r="AH100" s="266"/>
      <c r="AI100" s="386"/>
      <c r="AJ100" s="387">
        <f t="shared" si="35"/>
        <v>0</v>
      </c>
      <c r="AK100" s="266"/>
      <c r="AL100" s="386"/>
      <c r="AM100" s="387">
        <f t="shared" si="36"/>
        <v>0</v>
      </c>
      <c r="AN100" s="388">
        <f t="shared" si="28"/>
        <v>0</v>
      </c>
      <c r="AO100" s="386">
        <f t="shared" si="29"/>
        <v>0</v>
      </c>
      <c r="AP100" s="856"/>
      <c r="AQ100" s="852"/>
      <c r="AR100" s="754"/>
      <c r="AS100" s="756"/>
    </row>
    <row r="101" spans="1:45" ht="30">
      <c r="A101" s="795"/>
      <c r="B101" s="771"/>
      <c r="C101" s="779"/>
      <c r="D101" s="791"/>
      <c r="E101" s="791"/>
      <c r="F101" s="852"/>
      <c r="G101" s="852"/>
      <c r="H101" s="854"/>
      <c r="I101" s="215">
        <v>3</v>
      </c>
      <c r="J101" s="410" t="s">
        <v>494</v>
      </c>
      <c r="K101" s="215">
        <v>52233128</v>
      </c>
      <c r="L101" s="215" t="s">
        <v>562</v>
      </c>
      <c r="M101" s="215"/>
      <c r="N101" s="274" t="s">
        <v>231</v>
      </c>
      <c r="O101" s="564"/>
      <c r="P101" s="396"/>
      <c r="Q101" s="386"/>
      <c r="R101" s="387">
        <f t="shared" si="27"/>
        <v>0</v>
      </c>
      <c r="S101" s="387"/>
      <c r="T101" s="386"/>
      <c r="U101" s="387">
        <f t="shared" si="30"/>
        <v>0</v>
      </c>
      <c r="V101" s="266"/>
      <c r="W101" s="386"/>
      <c r="X101" s="387">
        <f t="shared" si="31"/>
        <v>0</v>
      </c>
      <c r="Y101" s="266"/>
      <c r="Z101" s="386"/>
      <c r="AA101" s="387">
        <f t="shared" si="32"/>
        <v>0</v>
      </c>
      <c r="AB101" s="266"/>
      <c r="AC101" s="386"/>
      <c r="AD101" s="387">
        <f t="shared" si="33"/>
        <v>0</v>
      </c>
      <c r="AE101" s="266"/>
      <c r="AF101" s="386"/>
      <c r="AG101" s="387">
        <f t="shared" si="34"/>
        <v>0</v>
      </c>
      <c r="AH101" s="266"/>
      <c r="AI101" s="386"/>
      <c r="AJ101" s="387">
        <f t="shared" si="35"/>
        <v>0</v>
      </c>
      <c r="AK101" s="266"/>
      <c r="AL101" s="386"/>
      <c r="AM101" s="387">
        <f t="shared" si="36"/>
        <v>0</v>
      </c>
      <c r="AN101" s="388">
        <f t="shared" si="28"/>
        <v>0</v>
      </c>
      <c r="AO101" s="386">
        <f t="shared" si="29"/>
        <v>0</v>
      </c>
      <c r="AP101" s="856"/>
      <c r="AQ101" s="852"/>
      <c r="AR101" s="754"/>
      <c r="AS101" s="756"/>
    </row>
    <row r="102" spans="1:45" ht="30">
      <c r="A102" s="795"/>
      <c r="B102" s="771"/>
      <c r="C102" s="770"/>
      <c r="D102" s="675"/>
      <c r="E102" s="675"/>
      <c r="F102" s="764"/>
      <c r="G102" s="764"/>
      <c r="H102" s="855"/>
      <c r="I102" s="215">
        <v>4</v>
      </c>
      <c r="J102" s="410" t="s">
        <v>496</v>
      </c>
      <c r="K102" s="215">
        <v>1019011509</v>
      </c>
      <c r="L102" s="215" t="s">
        <v>563</v>
      </c>
      <c r="M102" s="215"/>
      <c r="N102" s="274" t="s">
        <v>231</v>
      </c>
      <c r="O102" s="564"/>
      <c r="P102" s="396"/>
      <c r="Q102" s="386"/>
      <c r="R102" s="387">
        <f t="shared" si="27"/>
        <v>0</v>
      </c>
      <c r="S102" s="387"/>
      <c r="T102" s="386"/>
      <c r="U102" s="387">
        <f t="shared" si="30"/>
        <v>0</v>
      </c>
      <c r="V102" s="266"/>
      <c r="W102" s="386"/>
      <c r="X102" s="387">
        <f t="shared" si="31"/>
        <v>0</v>
      </c>
      <c r="Y102" s="266"/>
      <c r="Z102" s="386"/>
      <c r="AA102" s="387">
        <f t="shared" si="32"/>
        <v>0</v>
      </c>
      <c r="AB102" s="266"/>
      <c r="AC102" s="386"/>
      <c r="AD102" s="387">
        <f t="shared" si="33"/>
        <v>0</v>
      </c>
      <c r="AE102" s="266"/>
      <c r="AF102" s="386"/>
      <c r="AG102" s="387">
        <f t="shared" si="34"/>
        <v>0</v>
      </c>
      <c r="AH102" s="266"/>
      <c r="AI102" s="386"/>
      <c r="AJ102" s="387">
        <f t="shared" si="35"/>
        <v>0</v>
      </c>
      <c r="AK102" s="266"/>
      <c r="AL102" s="386"/>
      <c r="AM102" s="387">
        <f t="shared" si="36"/>
        <v>0</v>
      </c>
      <c r="AN102" s="388">
        <f t="shared" si="28"/>
        <v>0</v>
      </c>
      <c r="AO102" s="386">
        <f t="shared" si="29"/>
        <v>0</v>
      </c>
      <c r="AP102" s="762"/>
      <c r="AQ102" s="764"/>
      <c r="AR102" s="765"/>
      <c r="AS102" s="766"/>
    </row>
    <row r="103" spans="1:45">
      <c r="A103" s="795"/>
      <c r="B103" s="757" t="s">
        <v>233</v>
      </c>
      <c r="C103" s="270" t="s">
        <v>234</v>
      </c>
      <c r="D103" s="767">
        <v>364</v>
      </c>
      <c r="E103" s="215">
        <v>2</v>
      </c>
      <c r="F103" s="769">
        <v>175634</v>
      </c>
      <c r="G103" s="752">
        <f>F103*D103</f>
        <v>63930776</v>
      </c>
      <c r="H103" s="395">
        <v>60.6666666666667</v>
      </c>
      <c r="I103" s="272">
        <v>2</v>
      </c>
      <c r="J103" s="385"/>
      <c r="K103" s="215"/>
      <c r="L103" s="215"/>
      <c r="M103" s="215"/>
      <c r="N103" s="274"/>
      <c r="O103" s="564"/>
      <c r="P103" s="396"/>
      <c r="Q103" s="386"/>
      <c r="R103" s="387">
        <f t="shared" si="27"/>
        <v>0</v>
      </c>
      <c r="S103" s="387"/>
      <c r="T103" s="386"/>
      <c r="U103" s="387">
        <f t="shared" si="30"/>
        <v>0</v>
      </c>
      <c r="V103" s="266"/>
      <c r="W103" s="386"/>
      <c r="X103" s="387">
        <f t="shared" si="31"/>
        <v>0</v>
      </c>
      <c r="Y103" s="266"/>
      <c r="Z103" s="386"/>
      <c r="AA103" s="387">
        <f t="shared" si="32"/>
        <v>0</v>
      </c>
      <c r="AB103" s="266"/>
      <c r="AC103" s="386"/>
      <c r="AD103" s="387">
        <f t="shared" si="33"/>
        <v>0</v>
      </c>
      <c r="AE103" s="266"/>
      <c r="AF103" s="386"/>
      <c r="AG103" s="387">
        <f t="shared" si="34"/>
        <v>0</v>
      </c>
      <c r="AH103" s="266"/>
      <c r="AI103" s="386"/>
      <c r="AJ103" s="387">
        <f t="shared" si="35"/>
        <v>0</v>
      </c>
      <c r="AK103" s="266"/>
      <c r="AL103" s="386"/>
      <c r="AM103" s="387">
        <f t="shared" si="36"/>
        <v>0</v>
      </c>
      <c r="AN103" s="388">
        <f t="shared" si="28"/>
        <v>0</v>
      </c>
      <c r="AO103" s="386">
        <f t="shared" si="29"/>
        <v>0</v>
      </c>
      <c r="AP103" s="751">
        <f>SUM(AN103:AN105)</f>
        <v>0</v>
      </c>
      <c r="AQ103" s="752">
        <f>SUM(AO103:AO105)</f>
        <v>0</v>
      </c>
      <c r="AR103" s="753">
        <f t="shared" ref="AR103:AR104" si="41">AP103-D103</f>
        <v>-364</v>
      </c>
      <c r="AS103" s="755">
        <f t="shared" ref="AS103:AS104" si="42">AQ103-G103</f>
        <v>-63930776</v>
      </c>
    </row>
    <row r="104" spans="1:45" ht="30">
      <c r="A104" s="795"/>
      <c r="B104" s="757"/>
      <c r="C104" s="270" t="s">
        <v>237</v>
      </c>
      <c r="D104" s="768"/>
      <c r="E104" s="215">
        <v>2</v>
      </c>
      <c r="F104" s="769"/>
      <c r="G104" s="752"/>
      <c r="H104" s="393">
        <f>D103/6</f>
        <v>60.666666666666664</v>
      </c>
      <c r="I104" s="215">
        <v>2</v>
      </c>
      <c r="J104" s="385"/>
      <c r="K104" s="215"/>
      <c r="L104" s="215"/>
      <c r="M104" s="215"/>
      <c r="N104" s="274"/>
      <c r="O104" s="564"/>
      <c r="P104" s="396"/>
      <c r="Q104" s="386"/>
      <c r="R104" s="387">
        <f t="shared" si="27"/>
        <v>0</v>
      </c>
      <c r="S104" s="387"/>
      <c r="T104" s="386"/>
      <c r="U104" s="387">
        <f t="shared" si="30"/>
        <v>0</v>
      </c>
      <c r="V104" s="266"/>
      <c r="W104" s="386"/>
      <c r="X104" s="387">
        <f t="shared" si="31"/>
        <v>0</v>
      </c>
      <c r="Y104" s="266"/>
      <c r="Z104" s="386"/>
      <c r="AA104" s="387">
        <f t="shared" si="32"/>
        <v>0</v>
      </c>
      <c r="AB104" s="266"/>
      <c r="AC104" s="386"/>
      <c r="AD104" s="387">
        <f t="shared" si="33"/>
        <v>0</v>
      </c>
      <c r="AE104" s="266"/>
      <c r="AF104" s="386"/>
      <c r="AG104" s="387">
        <f t="shared" si="34"/>
        <v>0</v>
      </c>
      <c r="AH104" s="266"/>
      <c r="AI104" s="386"/>
      <c r="AJ104" s="387">
        <f t="shared" si="35"/>
        <v>0</v>
      </c>
      <c r="AK104" s="266"/>
      <c r="AL104" s="386"/>
      <c r="AM104" s="387">
        <f t="shared" si="36"/>
        <v>0</v>
      </c>
      <c r="AN104" s="388">
        <f t="shared" si="28"/>
        <v>0</v>
      </c>
      <c r="AO104" s="386">
        <f t="shared" si="29"/>
        <v>0</v>
      </c>
      <c r="AP104" s="751"/>
      <c r="AQ104" s="752"/>
      <c r="AR104" s="754"/>
      <c r="AS104" s="756"/>
    </row>
    <row r="105" spans="1:45">
      <c r="A105" s="795"/>
      <c r="B105" s="757"/>
      <c r="C105" s="270" t="s">
        <v>238</v>
      </c>
      <c r="D105" s="680"/>
      <c r="E105" s="215">
        <v>2</v>
      </c>
      <c r="F105" s="769"/>
      <c r="G105" s="752"/>
      <c r="H105" s="393">
        <f>H104</f>
        <v>60.666666666666664</v>
      </c>
      <c r="I105" s="215">
        <v>2</v>
      </c>
      <c r="J105" s="385"/>
      <c r="K105" s="215"/>
      <c r="L105" s="215"/>
      <c r="M105" s="215"/>
      <c r="N105" s="274"/>
      <c r="O105" s="564"/>
      <c r="P105" s="396"/>
      <c r="Q105" s="386"/>
      <c r="R105" s="387">
        <f t="shared" si="27"/>
        <v>0</v>
      </c>
      <c r="S105" s="387"/>
      <c r="T105" s="386"/>
      <c r="U105" s="387">
        <f t="shared" si="30"/>
        <v>0</v>
      </c>
      <c r="V105" s="266"/>
      <c r="W105" s="386"/>
      <c r="X105" s="387">
        <f t="shared" si="31"/>
        <v>0</v>
      </c>
      <c r="Y105" s="266"/>
      <c r="Z105" s="386"/>
      <c r="AA105" s="387">
        <f t="shared" si="32"/>
        <v>0</v>
      </c>
      <c r="AB105" s="266"/>
      <c r="AC105" s="386"/>
      <c r="AD105" s="387">
        <f t="shared" si="33"/>
        <v>0</v>
      </c>
      <c r="AE105" s="266"/>
      <c r="AF105" s="386"/>
      <c r="AG105" s="387">
        <f t="shared" si="34"/>
        <v>0</v>
      </c>
      <c r="AH105" s="266"/>
      <c r="AI105" s="386"/>
      <c r="AJ105" s="387">
        <f t="shared" si="35"/>
        <v>0</v>
      </c>
      <c r="AK105" s="266"/>
      <c r="AL105" s="386"/>
      <c r="AM105" s="387">
        <f t="shared" si="36"/>
        <v>0</v>
      </c>
      <c r="AN105" s="388">
        <f t="shared" si="28"/>
        <v>0</v>
      </c>
      <c r="AO105" s="386">
        <f t="shared" si="29"/>
        <v>0</v>
      </c>
      <c r="AP105" s="751"/>
      <c r="AQ105" s="752"/>
      <c r="AR105" s="765"/>
      <c r="AS105" s="766"/>
    </row>
    <row r="106" spans="1:45">
      <c r="A106" s="795"/>
      <c r="B106" s="757" t="s">
        <v>59</v>
      </c>
      <c r="C106" s="270" t="s">
        <v>239</v>
      </c>
      <c r="D106" s="375">
        <v>272</v>
      </c>
      <c r="E106" s="757">
        <v>6</v>
      </c>
      <c r="F106" s="752">
        <v>186254</v>
      </c>
      <c r="G106" s="752">
        <f>(D106+D107)*F106</f>
        <v>69286488</v>
      </c>
      <c r="H106" s="758">
        <f>(D106+D107)/E106</f>
        <v>62</v>
      </c>
      <c r="I106" s="757">
        <v>6</v>
      </c>
      <c r="J106" s="385" t="s">
        <v>498</v>
      </c>
      <c r="K106" s="215"/>
      <c r="L106" s="215"/>
      <c r="M106" s="215"/>
      <c r="N106" s="274"/>
      <c r="O106" s="564"/>
      <c r="P106" s="396"/>
      <c r="Q106" s="386"/>
      <c r="R106" s="387">
        <f t="shared" si="27"/>
        <v>0</v>
      </c>
      <c r="S106" s="387"/>
      <c r="T106" s="386"/>
      <c r="U106" s="387">
        <f t="shared" si="30"/>
        <v>0</v>
      </c>
      <c r="V106" s="266"/>
      <c r="W106" s="386"/>
      <c r="X106" s="387">
        <f t="shared" si="31"/>
        <v>0</v>
      </c>
      <c r="Y106" s="266"/>
      <c r="Z106" s="386"/>
      <c r="AA106" s="387">
        <f t="shared" si="32"/>
        <v>0</v>
      </c>
      <c r="AB106" s="266"/>
      <c r="AC106" s="386"/>
      <c r="AD106" s="387">
        <f t="shared" si="33"/>
        <v>0</v>
      </c>
      <c r="AE106" s="266"/>
      <c r="AF106" s="386"/>
      <c r="AG106" s="387">
        <f t="shared" si="34"/>
        <v>0</v>
      </c>
      <c r="AH106" s="266"/>
      <c r="AI106" s="386"/>
      <c r="AJ106" s="387">
        <f t="shared" si="35"/>
        <v>0</v>
      </c>
      <c r="AK106" s="266"/>
      <c r="AL106" s="386"/>
      <c r="AM106" s="387">
        <f t="shared" si="36"/>
        <v>0</v>
      </c>
      <c r="AN106" s="388">
        <f t="shared" si="28"/>
        <v>0</v>
      </c>
      <c r="AO106" s="386">
        <f t="shared" si="29"/>
        <v>0</v>
      </c>
      <c r="AP106" s="751">
        <f>SUM(AN106:AN107)</f>
        <v>0</v>
      </c>
      <c r="AQ106" s="752">
        <f>SUM(AO106:AO107)</f>
        <v>0</v>
      </c>
      <c r="AR106" s="753">
        <f t="shared" ref="AR106:AR108" si="43">AP106-D106</f>
        <v>-272</v>
      </c>
      <c r="AS106" s="755">
        <f t="shared" ref="AS106:AS108" si="44">AQ106-G106</f>
        <v>-69286488</v>
      </c>
    </row>
    <row r="107" spans="1:45">
      <c r="A107" s="795"/>
      <c r="B107" s="757"/>
      <c r="C107" s="270" t="s">
        <v>244</v>
      </c>
      <c r="D107" s="268">
        <v>100</v>
      </c>
      <c r="E107" s="757"/>
      <c r="F107" s="752"/>
      <c r="G107" s="752"/>
      <c r="H107" s="759"/>
      <c r="I107" s="757"/>
      <c r="J107" s="385" t="s">
        <v>499</v>
      </c>
      <c r="K107" s="215"/>
      <c r="L107" s="215"/>
      <c r="M107" s="215"/>
      <c r="N107" s="274"/>
      <c r="O107" s="564"/>
      <c r="P107" s="396"/>
      <c r="Q107" s="386"/>
      <c r="R107" s="387">
        <f t="shared" si="27"/>
        <v>0</v>
      </c>
      <c r="S107" s="387"/>
      <c r="T107" s="386"/>
      <c r="U107" s="387">
        <f t="shared" si="30"/>
        <v>0</v>
      </c>
      <c r="V107" s="266"/>
      <c r="W107" s="386"/>
      <c r="X107" s="387">
        <f t="shared" si="31"/>
        <v>0</v>
      </c>
      <c r="Y107" s="266"/>
      <c r="Z107" s="386"/>
      <c r="AA107" s="387">
        <f t="shared" si="32"/>
        <v>0</v>
      </c>
      <c r="AB107" s="266"/>
      <c r="AC107" s="386"/>
      <c r="AD107" s="387">
        <f t="shared" si="33"/>
        <v>0</v>
      </c>
      <c r="AE107" s="266"/>
      <c r="AF107" s="386"/>
      <c r="AG107" s="387">
        <f t="shared" si="34"/>
        <v>0</v>
      </c>
      <c r="AH107" s="266"/>
      <c r="AI107" s="386"/>
      <c r="AJ107" s="387">
        <f t="shared" si="35"/>
        <v>0</v>
      </c>
      <c r="AK107" s="266"/>
      <c r="AL107" s="386"/>
      <c r="AM107" s="387">
        <f t="shared" si="36"/>
        <v>0</v>
      </c>
      <c r="AN107" s="388">
        <f t="shared" si="28"/>
        <v>0</v>
      </c>
      <c r="AO107" s="386">
        <f t="shared" si="29"/>
        <v>0</v>
      </c>
      <c r="AP107" s="751"/>
      <c r="AQ107" s="752"/>
      <c r="AR107" s="754">
        <f t="shared" si="43"/>
        <v>-100</v>
      </c>
      <c r="AS107" s="756">
        <f t="shared" si="44"/>
        <v>0</v>
      </c>
    </row>
    <row r="108" spans="1:45" ht="39.75">
      <c r="A108" s="795"/>
      <c r="B108" s="757" t="s">
        <v>245</v>
      </c>
      <c r="C108" s="270" t="s">
        <v>60</v>
      </c>
      <c r="D108" s="679">
        <v>896</v>
      </c>
      <c r="E108" s="757">
        <v>13</v>
      </c>
      <c r="F108" s="752">
        <v>186254</v>
      </c>
      <c r="G108" s="752">
        <f>(D108+D109)*F108</f>
        <v>166883584</v>
      </c>
      <c r="H108" s="758">
        <v>69</v>
      </c>
      <c r="I108" s="757">
        <v>13</v>
      </c>
      <c r="J108" s="273" t="s">
        <v>500</v>
      </c>
      <c r="K108" s="215"/>
      <c r="L108" s="215"/>
      <c r="M108" s="215"/>
      <c r="N108" s="274"/>
      <c r="O108" s="564"/>
      <c r="P108" s="396"/>
      <c r="Q108" s="386"/>
      <c r="R108" s="387">
        <f t="shared" si="27"/>
        <v>0</v>
      </c>
      <c r="S108" s="387"/>
      <c r="T108" s="386"/>
      <c r="U108" s="387">
        <f t="shared" si="30"/>
        <v>0</v>
      </c>
      <c r="V108" s="266"/>
      <c r="W108" s="386"/>
      <c r="X108" s="387">
        <f t="shared" si="31"/>
        <v>0</v>
      </c>
      <c r="Y108" s="266"/>
      <c r="Z108" s="386"/>
      <c r="AA108" s="387">
        <f t="shared" si="32"/>
        <v>0</v>
      </c>
      <c r="AB108" s="266"/>
      <c r="AC108" s="386"/>
      <c r="AD108" s="387">
        <f t="shared" si="33"/>
        <v>0</v>
      </c>
      <c r="AE108" s="266"/>
      <c r="AF108" s="386"/>
      <c r="AG108" s="387">
        <f t="shared" si="34"/>
        <v>0</v>
      </c>
      <c r="AH108" s="266"/>
      <c r="AI108" s="386"/>
      <c r="AJ108" s="387">
        <f t="shared" si="35"/>
        <v>0</v>
      </c>
      <c r="AK108" s="266"/>
      <c r="AL108" s="386"/>
      <c r="AM108" s="387">
        <f t="shared" si="36"/>
        <v>0</v>
      </c>
      <c r="AN108" s="388">
        <f t="shared" si="28"/>
        <v>0</v>
      </c>
      <c r="AO108" s="386">
        <f t="shared" si="29"/>
        <v>0</v>
      </c>
      <c r="AP108" s="751">
        <f>SUM(AN108:AN109)</f>
        <v>0</v>
      </c>
      <c r="AQ108" s="760">
        <f>SUM(AO108:AO109)</f>
        <v>0</v>
      </c>
      <c r="AR108" s="751">
        <f>AP108-D108</f>
        <v>-896</v>
      </c>
      <c r="AS108" s="752">
        <f>AQ108-G108</f>
        <v>-166883584</v>
      </c>
    </row>
    <row r="109" spans="1:45" ht="30">
      <c r="A109" s="795"/>
      <c r="B109" s="757"/>
      <c r="C109" s="270" t="s">
        <v>61</v>
      </c>
      <c r="D109" s="680"/>
      <c r="E109" s="757"/>
      <c r="F109" s="752"/>
      <c r="G109" s="752"/>
      <c r="H109" s="759"/>
      <c r="I109" s="757"/>
      <c r="J109" s="273" t="s">
        <v>501</v>
      </c>
      <c r="K109" s="215"/>
      <c r="L109" s="215"/>
      <c r="M109" s="215"/>
      <c r="N109" s="274"/>
      <c r="O109" s="564"/>
      <c r="P109" s="396"/>
      <c r="Q109" s="386"/>
      <c r="R109" s="387">
        <f t="shared" si="27"/>
        <v>0</v>
      </c>
      <c r="S109" s="387"/>
      <c r="T109" s="386"/>
      <c r="U109" s="387">
        <f t="shared" si="30"/>
        <v>0</v>
      </c>
      <c r="V109" s="266"/>
      <c r="W109" s="386"/>
      <c r="X109" s="387">
        <f t="shared" si="31"/>
        <v>0</v>
      </c>
      <c r="Y109" s="266"/>
      <c r="Z109" s="386"/>
      <c r="AA109" s="387">
        <f t="shared" si="32"/>
        <v>0</v>
      </c>
      <c r="AB109" s="266"/>
      <c r="AC109" s="386"/>
      <c r="AD109" s="387">
        <f t="shared" si="33"/>
        <v>0</v>
      </c>
      <c r="AE109" s="266"/>
      <c r="AF109" s="386"/>
      <c r="AG109" s="387">
        <f t="shared" si="34"/>
        <v>0</v>
      </c>
      <c r="AH109" s="266"/>
      <c r="AI109" s="386"/>
      <c r="AJ109" s="387">
        <f t="shared" si="35"/>
        <v>0</v>
      </c>
      <c r="AK109" s="266"/>
      <c r="AL109" s="386"/>
      <c r="AM109" s="387">
        <f t="shared" si="36"/>
        <v>0</v>
      </c>
      <c r="AN109" s="388">
        <f t="shared" si="28"/>
        <v>0</v>
      </c>
      <c r="AO109" s="386">
        <f t="shared" si="29"/>
        <v>0</v>
      </c>
      <c r="AP109" s="751"/>
      <c r="AQ109" s="760"/>
      <c r="AR109" s="751"/>
      <c r="AS109" s="752"/>
    </row>
    <row r="110" spans="1:45" ht="30">
      <c r="A110" s="796"/>
      <c r="B110" s="757"/>
      <c r="C110" s="270" t="s">
        <v>62</v>
      </c>
      <c r="D110" s="268" t="s">
        <v>248</v>
      </c>
      <c r="E110" s="215" t="s">
        <v>248</v>
      </c>
      <c r="F110" s="391" t="s">
        <v>248</v>
      </c>
      <c r="G110" s="391">
        <v>196000000</v>
      </c>
      <c r="H110" s="393"/>
      <c r="I110" s="215" t="s">
        <v>248</v>
      </c>
      <c r="J110" s="273" t="s">
        <v>502</v>
      </c>
      <c r="K110" s="215"/>
      <c r="L110" s="215"/>
      <c r="M110" s="215"/>
      <c r="N110" s="274"/>
      <c r="O110" s="564"/>
      <c r="P110" s="396"/>
      <c r="Q110" s="386"/>
      <c r="R110" s="387">
        <f t="shared" si="27"/>
        <v>0</v>
      </c>
      <c r="S110" s="387"/>
      <c r="T110" s="386"/>
      <c r="U110" s="387">
        <f t="shared" si="30"/>
        <v>0</v>
      </c>
      <c r="V110" s="266"/>
      <c r="W110" s="386"/>
      <c r="X110" s="387">
        <f t="shared" si="31"/>
        <v>0</v>
      </c>
      <c r="Y110" s="266"/>
      <c r="Z110" s="386"/>
      <c r="AA110" s="387">
        <f t="shared" si="32"/>
        <v>0</v>
      </c>
      <c r="AB110" s="266"/>
      <c r="AC110" s="386"/>
      <c r="AD110" s="387">
        <f t="shared" si="33"/>
        <v>0</v>
      </c>
      <c r="AE110" s="266"/>
      <c r="AF110" s="386"/>
      <c r="AG110" s="387">
        <f t="shared" si="34"/>
        <v>0</v>
      </c>
      <c r="AH110" s="266"/>
      <c r="AI110" s="386"/>
      <c r="AJ110" s="387">
        <f t="shared" si="35"/>
        <v>0</v>
      </c>
      <c r="AK110" s="266"/>
      <c r="AL110" s="386"/>
      <c r="AM110" s="387">
        <f t="shared" si="36"/>
        <v>0</v>
      </c>
      <c r="AN110" s="388">
        <f t="shared" si="28"/>
        <v>0</v>
      </c>
      <c r="AO110" s="386">
        <f t="shared" si="29"/>
        <v>0</v>
      </c>
      <c r="AP110" s="392">
        <f>AN110</f>
        <v>0</v>
      </c>
      <c r="AQ110" s="413">
        <f>AO110</f>
        <v>0</v>
      </c>
      <c r="AR110" s="414"/>
      <c r="AS110" s="415">
        <f>AQ110-G110</f>
        <v>-196000000</v>
      </c>
    </row>
    <row r="111" spans="1:45" ht="39.75">
      <c r="A111" s="276" t="s">
        <v>249</v>
      </c>
      <c r="B111" s="215" t="s">
        <v>250</v>
      </c>
      <c r="C111" s="270" t="s">
        <v>251</v>
      </c>
      <c r="D111" s="394">
        <v>60</v>
      </c>
      <c r="E111" s="215">
        <v>4</v>
      </c>
      <c r="F111" s="390">
        <v>205000</v>
      </c>
      <c r="G111" s="391">
        <f>F111*D111</f>
        <v>12300000</v>
      </c>
      <c r="H111" s="393">
        <f>D111/E111</f>
        <v>15</v>
      </c>
      <c r="I111" s="215">
        <v>4</v>
      </c>
      <c r="J111" s="273"/>
      <c r="K111" s="215"/>
      <c r="L111" s="215"/>
      <c r="M111" s="215"/>
      <c r="N111" s="274"/>
      <c r="O111" s="564"/>
      <c r="P111" s="396"/>
      <c r="Q111" s="386"/>
      <c r="R111" s="387">
        <f t="shared" si="27"/>
        <v>0</v>
      </c>
      <c r="S111" s="387"/>
      <c r="T111" s="386"/>
      <c r="U111" s="387">
        <f t="shared" si="30"/>
        <v>0</v>
      </c>
      <c r="V111" s="266"/>
      <c r="W111" s="386"/>
      <c r="X111" s="387">
        <f t="shared" si="31"/>
        <v>0</v>
      </c>
      <c r="Y111" s="266"/>
      <c r="Z111" s="386"/>
      <c r="AA111" s="387">
        <f t="shared" si="32"/>
        <v>0</v>
      </c>
      <c r="AB111" s="266"/>
      <c r="AC111" s="386"/>
      <c r="AD111" s="387">
        <f t="shared" si="33"/>
        <v>0</v>
      </c>
      <c r="AE111" s="266"/>
      <c r="AF111" s="386"/>
      <c r="AG111" s="387">
        <f t="shared" si="34"/>
        <v>0</v>
      </c>
      <c r="AH111" s="266"/>
      <c r="AI111" s="386"/>
      <c r="AJ111" s="387">
        <f t="shared" si="35"/>
        <v>0</v>
      </c>
      <c r="AK111" s="266"/>
      <c r="AL111" s="386"/>
      <c r="AM111" s="387">
        <f t="shared" si="36"/>
        <v>0</v>
      </c>
      <c r="AN111" s="388">
        <f t="shared" si="28"/>
        <v>0</v>
      </c>
      <c r="AO111" s="386">
        <f t="shared" si="29"/>
        <v>0</v>
      </c>
      <c r="AP111" s="392">
        <f>AN111</f>
        <v>0</v>
      </c>
      <c r="AQ111" s="413">
        <f>AO111</f>
        <v>0</v>
      </c>
      <c r="AR111" s="392">
        <f>AP111-D111</f>
        <v>-60</v>
      </c>
      <c r="AS111" s="391">
        <f>AQ111-G111</f>
        <v>-12300000</v>
      </c>
    </row>
    <row r="112" spans="1:45">
      <c r="A112" s="416"/>
      <c r="B112" s="417"/>
      <c r="C112" s="417"/>
      <c r="D112" s="418">
        <f>D6+D31+D36+D46+D51+D29+D54+D59+D64+D70+D73+D78+D86+D93+D96+D98+D99+D103+D104+D105+D106+D108+D111+D107</f>
        <v>13995</v>
      </c>
      <c r="E112" s="418">
        <f>E6+E31+E36+E46+E51+E29+E54+E59+E64+E70+E73+E78+E86+E93+E96+E98+E99+E103+E104+E105+E106+E108+E111</f>
        <v>154</v>
      </c>
      <c r="F112" s="419"/>
      <c r="G112" s="420">
        <f>SUM(G6:G111)</f>
        <v>2691023510</v>
      </c>
      <c r="H112" s="421"/>
      <c r="I112" s="422"/>
      <c r="J112" s="423"/>
      <c r="K112" s="422"/>
      <c r="L112" s="424"/>
      <c r="M112" s="424"/>
      <c r="N112" s="425"/>
      <c r="O112" s="425"/>
      <c r="P112" s="416"/>
      <c r="Q112" s="416"/>
      <c r="R112" s="426">
        <f>SUM(R6:R111)</f>
        <v>0</v>
      </c>
      <c r="S112" s="416"/>
      <c r="T112" s="416"/>
      <c r="U112" s="426">
        <f>SUM(U6:U111)</f>
        <v>0</v>
      </c>
      <c r="V112" s="416"/>
      <c r="W112" s="416"/>
      <c r="X112" s="426">
        <f>SUM(X6:X111)</f>
        <v>0</v>
      </c>
      <c r="Y112" s="416"/>
      <c r="Z112" s="416"/>
      <c r="AA112" s="426">
        <f>SUM(AA6:AA111)</f>
        <v>0</v>
      </c>
      <c r="AB112" s="416"/>
      <c r="AC112" s="416"/>
      <c r="AD112" s="426">
        <f>SUM(AD6:AD111)</f>
        <v>0</v>
      </c>
      <c r="AE112" s="416"/>
      <c r="AF112" s="416"/>
      <c r="AG112" s="426">
        <f>SUM(AG6:AG111)</f>
        <v>0</v>
      </c>
      <c r="AH112" s="416"/>
      <c r="AI112" s="416"/>
      <c r="AJ112" s="426">
        <f>SUM(AJ6:AJ111)</f>
        <v>0</v>
      </c>
      <c r="AK112" s="416"/>
      <c r="AL112" s="416"/>
      <c r="AM112" s="426">
        <f>SUM(AM6:AM111)</f>
        <v>0</v>
      </c>
      <c r="AN112" s="427">
        <f>SUM(AN6:AN111)</f>
        <v>0</v>
      </c>
      <c r="AO112" s="426">
        <f t="shared" ref="AO112" si="45">SUM(AO6:AO111)</f>
        <v>0</v>
      </c>
      <c r="AP112" s="420">
        <f>SUM(AP6:AP111)</f>
        <v>0</v>
      </c>
      <c r="AQ112" s="420">
        <f>SUM(AQ6:AQ111)</f>
        <v>0</v>
      </c>
      <c r="AR112" s="420">
        <f>SUM(AR6:AR111)</f>
        <v>-13995</v>
      </c>
      <c r="AS112" s="420">
        <f>SUM(AS6:AS111)</f>
        <v>-2691023510</v>
      </c>
    </row>
    <row r="113" spans="15:15">
      <c r="O113" s="275"/>
    </row>
    <row r="114" spans="15:15">
      <c r="O114" s="275"/>
    </row>
    <row r="115" spans="15:15">
      <c r="O115" s="275"/>
    </row>
    <row r="116" spans="15:15">
      <c r="O116" s="275"/>
    </row>
    <row r="117" spans="15:15">
      <c r="O117" s="275"/>
    </row>
    <row r="118" spans="15:15">
      <c r="O118" s="275"/>
    </row>
    <row r="119" spans="15:15">
      <c r="O119" s="275"/>
    </row>
    <row r="120" spans="15:15">
      <c r="O120" s="275"/>
    </row>
    <row r="121" spans="15:15">
      <c r="O121" s="275"/>
    </row>
    <row r="122" spans="15:15">
      <c r="O122" s="275"/>
    </row>
    <row r="123" spans="15:15">
      <c r="O123" s="275"/>
    </row>
    <row r="124" spans="15:15">
      <c r="O124" s="275"/>
    </row>
    <row r="125" spans="15:15">
      <c r="O125" s="275"/>
    </row>
    <row r="126" spans="15:15">
      <c r="O126" s="275"/>
    </row>
    <row r="127" spans="15:15">
      <c r="O127" s="275"/>
    </row>
    <row r="128" spans="15:15">
      <c r="O128" s="275"/>
    </row>
    <row r="129" spans="15:15">
      <c r="O129" s="275"/>
    </row>
    <row r="130" spans="15:15">
      <c r="O130" s="275"/>
    </row>
    <row r="131" spans="15:15">
      <c r="O131" s="275"/>
    </row>
  </sheetData>
  <mergeCells count="258">
    <mergeCell ref="I4:I5"/>
    <mergeCell ref="J4:J5"/>
    <mergeCell ref="K4:K5"/>
    <mergeCell ref="L4:L5"/>
    <mergeCell ref="A4:A5"/>
    <mergeCell ref="B4:B5"/>
    <mergeCell ref="C4:C5"/>
    <mergeCell ref="D4:D5"/>
    <mergeCell ref="E4:E5"/>
    <mergeCell ref="F4:F5"/>
    <mergeCell ref="AR4:AS4"/>
    <mergeCell ref="A6:A28"/>
    <mergeCell ref="B6:B28"/>
    <mergeCell ref="C6:C28"/>
    <mergeCell ref="D6:D28"/>
    <mergeCell ref="E6:E28"/>
    <mergeCell ref="F6:F28"/>
    <mergeCell ref="G6:G28"/>
    <mergeCell ref="H6:H28"/>
    <mergeCell ref="AP6:AP28"/>
    <mergeCell ref="AB4:AD4"/>
    <mergeCell ref="AE4:AG4"/>
    <mergeCell ref="AH4:AJ4"/>
    <mergeCell ref="AK4:AM4"/>
    <mergeCell ref="AN4:AO4"/>
    <mergeCell ref="AP4:AQ4"/>
    <mergeCell ref="M4:M5"/>
    <mergeCell ref="N4:N5"/>
    <mergeCell ref="O4:R4"/>
    <mergeCell ref="S4:U4"/>
    <mergeCell ref="V4:X4"/>
    <mergeCell ref="Y4:AA4"/>
    <mergeCell ref="G4:G5"/>
    <mergeCell ref="H4:H5"/>
    <mergeCell ref="AQ6:AQ28"/>
    <mergeCell ref="AR6:AR28"/>
    <mergeCell ref="AS6:AS28"/>
    <mergeCell ref="B29:B30"/>
    <mergeCell ref="C29:C30"/>
    <mergeCell ref="D29:D30"/>
    <mergeCell ref="E29:E30"/>
    <mergeCell ref="F29:F30"/>
    <mergeCell ref="G29:G30"/>
    <mergeCell ref="H29:H30"/>
    <mergeCell ref="P29:P30"/>
    <mergeCell ref="Q29:Q30"/>
    <mergeCell ref="R29:R30"/>
    <mergeCell ref="S29:S30"/>
    <mergeCell ref="T29:T30"/>
    <mergeCell ref="U29:U30"/>
    <mergeCell ref="I29:I30"/>
    <mergeCell ref="J29:J30"/>
    <mergeCell ref="K29:K30"/>
    <mergeCell ref="L29:L30"/>
    <mergeCell ref="M29:M30"/>
    <mergeCell ref="N29:N30"/>
    <mergeCell ref="AB29:AB30"/>
    <mergeCell ref="AC29:AC30"/>
    <mergeCell ref="AD29:AD30"/>
    <mergeCell ref="AE29:AE30"/>
    <mergeCell ref="AF29:AF30"/>
    <mergeCell ref="AG29:AG30"/>
    <mergeCell ref="V29:V30"/>
    <mergeCell ref="W29:W30"/>
    <mergeCell ref="X29:X30"/>
    <mergeCell ref="Y29:Y30"/>
    <mergeCell ref="Z29:Z30"/>
    <mergeCell ref="AA29:AA30"/>
    <mergeCell ref="AN29:AN30"/>
    <mergeCell ref="AO29:AO30"/>
    <mergeCell ref="AP29:AP30"/>
    <mergeCell ref="AQ29:AQ30"/>
    <mergeCell ref="AR29:AR30"/>
    <mergeCell ref="AS29:AS30"/>
    <mergeCell ref="AH29:AH30"/>
    <mergeCell ref="AI29:AI30"/>
    <mergeCell ref="AJ29:AJ30"/>
    <mergeCell ref="AK29:AK30"/>
    <mergeCell ref="AL29:AL30"/>
    <mergeCell ref="AM29:AM30"/>
    <mergeCell ref="G31:G35"/>
    <mergeCell ref="H31:H35"/>
    <mergeCell ref="AP31:AP35"/>
    <mergeCell ref="AQ31:AQ35"/>
    <mergeCell ref="AR31:AR35"/>
    <mergeCell ref="AS31:AS35"/>
    <mergeCell ref="A31:A45"/>
    <mergeCell ref="B31:B35"/>
    <mergeCell ref="C31:C35"/>
    <mergeCell ref="D31:D35"/>
    <mergeCell ref="E31:E35"/>
    <mergeCell ref="F31:F35"/>
    <mergeCell ref="B36:B45"/>
    <mergeCell ref="C36:C45"/>
    <mergeCell ref="D36:D45"/>
    <mergeCell ref="E36:E45"/>
    <mergeCell ref="AS36:AS45"/>
    <mergeCell ref="A46:A110"/>
    <mergeCell ref="B46:B50"/>
    <mergeCell ref="C46:C50"/>
    <mergeCell ref="D46:D50"/>
    <mergeCell ref="E46:E50"/>
    <mergeCell ref="F46:F50"/>
    <mergeCell ref="G46:G50"/>
    <mergeCell ref="H46:H50"/>
    <mergeCell ref="I46:I50"/>
    <mergeCell ref="F36:F45"/>
    <mergeCell ref="G36:G45"/>
    <mergeCell ref="H36:H45"/>
    <mergeCell ref="AP36:AP45"/>
    <mergeCell ref="AQ36:AQ45"/>
    <mergeCell ref="AR36:AR45"/>
    <mergeCell ref="AQ51:AQ53"/>
    <mergeCell ref="AR51:AR53"/>
    <mergeCell ref="AS51:AS53"/>
    <mergeCell ref="AP46:AP50"/>
    <mergeCell ref="AQ46:AQ50"/>
    <mergeCell ref="AR46:AR50"/>
    <mergeCell ref="AS46:AS50"/>
    <mergeCell ref="B51:B53"/>
    <mergeCell ref="C51:C53"/>
    <mergeCell ref="D51:D53"/>
    <mergeCell ref="E51:E53"/>
    <mergeCell ref="F51:F53"/>
    <mergeCell ref="G51:G53"/>
    <mergeCell ref="B54:B92"/>
    <mergeCell ref="C54:C58"/>
    <mergeCell ref="D54:D58"/>
    <mergeCell ref="E54:E58"/>
    <mergeCell ref="F54:F58"/>
    <mergeCell ref="G54:G58"/>
    <mergeCell ref="H51:H53"/>
    <mergeCell ref="I51:I53"/>
    <mergeCell ref="AP51:AP53"/>
    <mergeCell ref="H54:H58"/>
    <mergeCell ref="AP54:AP58"/>
    <mergeCell ref="AQ54:AQ58"/>
    <mergeCell ref="AR54:AR58"/>
    <mergeCell ref="AS54:AS58"/>
    <mergeCell ref="C59:C63"/>
    <mergeCell ref="D59:D63"/>
    <mergeCell ref="E59:E63"/>
    <mergeCell ref="F59:F63"/>
    <mergeCell ref="G59:G63"/>
    <mergeCell ref="H59:H63"/>
    <mergeCell ref="AP59:AP63"/>
    <mergeCell ref="AQ59:AQ63"/>
    <mergeCell ref="AR59:AR63"/>
    <mergeCell ref="AS59:AS63"/>
    <mergeCell ref="C64:C69"/>
    <mergeCell ref="D64:D69"/>
    <mergeCell ref="E64:E69"/>
    <mergeCell ref="F64:F69"/>
    <mergeCell ref="G64:G69"/>
    <mergeCell ref="H64:H69"/>
    <mergeCell ref="AP64:AP69"/>
    <mergeCell ref="AQ64:AQ69"/>
    <mergeCell ref="AR64:AR69"/>
    <mergeCell ref="AS64:AS69"/>
    <mergeCell ref="C70:C72"/>
    <mergeCell ref="D70:D72"/>
    <mergeCell ref="E70:E72"/>
    <mergeCell ref="F70:F72"/>
    <mergeCell ref="G70:G72"/>
    <mergeCell ref="H70:H72"/>
    <mergeCell ref="AP70:AP72"/>
    <mergeCell ref="AQ70:AQ72"/>
    <mergeCell ref="AR70:AR72"/>
    <mergeCell ref="AS70:AS72"/>
    <mergeCell ref="C73:C77"/>
    <mergeCell ref="D73:D77"/>
    <mergeCell ref="E73:E77"/>
    <mergeCell ref="F73:F77"/>
    <mergeCell ref="G73:G77"/>
    <mergeCell ref="H73:H77"/>
    <mergeCell ref="AP73:AP77"/>
    <mergeCell ref="AQ73:AQ77"/>
    <mergeCell ref="AR73:AR77"/>
    <mergeCell ref="AS73:AS77"/>
    <mergeCell ref="C78:C85"/>
    <mergeCell ref="D78:D85"/>
    <mergeCell ref="E78:E85"/>
    <mergeCell ref="F78:F85"/>
    <mergeCell ref="G78:G85"/>
    <mergeCell ref="H78:H85"/>
    <mergeCell ref="AP78:AP85"/>
    <mergeCell ref="AQ78:AQ85"/>
    <mergeCell ref="AR78:AR85"/>
    <mergeCell ref="AS78:AS85"/>
    <mergeCell ref="C86:C92"/>
    <mergeCell ref="D86:D92"/>
    <mergeCell ref="E86:E92"/>
    <mergeCell ref="F86:F92"/>
    <mergeCell ref="G86:G92"/>
    <mergeCell ref="G93:G95"/>
    <mergeCell ref="H93:H95"/>
    <mergeCell ref="AP93:AP95"/>
    <mergeCell ref="AQ93:AQ95"/>
    <mergeCell ref="AR93:AR95"/>
    <mergeCell ref="AS93:AS95"/>
    <mergeCell ref="H86:H92"/>
    <mergeCell ref="AP86:AP92"/>
    <mergeCell ref="AQ86:AQ92"/>
    <mergeCell ref="AR86:AR92"/>
    <mergeCell ref="AS86:AS92"/>
    <mergeCell ref="AQ96:AQ97"/>
    <mergeCell ref="AR96:AR97"/>
    <mergeCell ref="AS96:AS97"/>
    <mergeCell ref="C99:C102"/>
    <mergeCell ref="D99:D102"/>
    <mergeCell ref="E99:E102"/>
    <mergeCell ref="F99:F102"/>
    <mergeCell ref="G99:G102"/>
    <mergeCell ref="H99:H102"/>
    <mergeCell ref="AP99:AP102"/>
    <mergeCell ref="D96:D97"/>
    <mergeCell ref="E96:E97"/>
    <mergeCell ref="F96:F97"/>
    <mergeCell ref="G96:G97"/>
    <mergeCell ref="H96:H97"/>
    <mergeCell ref="AP96:AP97"/>
    <mergeCell ref="AQ99:AQ102"/>
    <mergeCell ref="AR99:AR102"/>
    <mergeCell ref="AS99:AS102"/>
    <mergeCell ref="B103:B105"/>
    <mergeCell ref="D103:D105"/>
    <mergeCell ref="F103:F105"/>
    <mergeCell ref="G103:G105"/>
    <mergeCell ref="AP103:AP105"/>
    <mergeCell ref="AQ103:AQ105"/>
    <mergeCell ref="AR103:AR105"/>
    <mergeCell ref="B93:B102"/>
    <mergeCell ref="C93:C95"/>
    <mergeCell ref="D93:D95"/>
    <mergeCell ref="E93:E95"/>
    <mergeCell ref="F93:F95"/>
    <mergeCell ref="AS103:AS105"/>
    <mergeCell ref="B106:B107"/>
    <mergeCell ref="E106:E107"/>
    <mergeCell ref="F106:F107"/>
    <mergeCell ref="G106:G107"/>
    <mergeCell ref="H106:H107"/>
    <mergeCell ref="I106:I107"/>
    <mergeCell ref="AP106:AP107"/>
    <mergeCell ref="AQ106:AQ107"/>
    <mergeCell ref="AR106:AR107"/>
    <mergeCell ref="AR108:AR109"/>
    <mergeCell ref="AS108:AS109"/>
    <mergeCell ref="AS106:AS107"/>
    <mergeCell ref="B108:B110"/>
    <mergeCell ref="D108:D109"/>
    <mergeCell ref="E108:E109"/>
    <mergeCell ref="F108:F109"/>
    <mergeCell ref="G108:G109"/>
    <mergeCell ref="H108:H109"/>
    <mergeCell ref="I108:I109"/>
    <mergeCell ref="AP108:AP109"/>
    <mergeCell ref="AQ108:AQ109"/>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DBE4FB-F990-436B-ADF9-F741DDA88A58}">
  <dimension ref="A1:O48"/>
  <sheetViews>
    <sheetView workbookViewId="0">
      <selection activeCell="H12" sqref="H12"/>
    </sheetView>
  </sheetViews>
  <sheetFormatPr defaultRowHeight="15"/>
  <cols>
    <col min="2" max="2" width="23.28515625" bestFit="1" customWidth="1"/>
    <col min="3" max="3" width="11.140625" customWidth="1"/>
    <col min="4" max="4" width="17.140625" customWidth="1"/>
    <col min="6" max="6" width="14.85546875" customWidth="1"/>
    <col min="8" max="8" width="23.28515625" bestFit="1" customWidth="1"/>
    <col min="9" max="9" width="9.85546875" bestFit="1" customWidth="1"/>
    <col min="10" max="10" width="14.42578125" customWidth="1"/>
    <col min="11" max="11" width="18.42578125" customWidth="1"/>
    <col min="12" max="12" width="21" customWidth="1"/>
    <col min="13" max="13" width="30.140625" customWidth="1"/>
    <col min="14" max="14" width="34.42578125" customWidth="1"/>
  </cols>
  <sheetData>
    <row r="1" spans="1:15" ht="18.75" customHeight="1">
      <c r="A1" s="943" t="s">
        <v>564</v>
      </c>
      <c r="B1" s="944"/>
      <c r="C1" s="944"/>
      <c r="D1" s="944"/>
      <c r="E1" s="944"/>
      <c r="F1" s="944"/>
      <c r="G1" s="944"/>
      <c r="H1" s="944"/>
      <c r="I1" s="944"/>
      <c r="J1" s="944"/>
      <c r="K1" s="944"/>
      <c r="L1" s="944"/>
      <c r="M1" s="944"/>
      <c r="N1" s="944"/>
      <c r="O1" s="282"/>
    </row>
    <row r="2" spans="1:15" ht="15" customHeight="1">
      <c r="A2" s="943" t="s">
        <v>565</v>
      </c>
      <c r="B2" s="944"/>
      <c r="C2" s="944"/>
      <c r="D2" s="944" t="s">
        <v>299</v>
      </c>
      <c r="E2" s="944"/>
      <c r="F2" s="944"/>
      <c r="G2" s="944"/>
      <c r="H2" s="944"/>
      <c r="I2" s="944"/>
      <c r="J2" s="944"/>
      <c r="K2" s="944"/>
      <c r="L2" s="944"/>
      <c r="M2" s="944"/>
      <c r="N2" s="944"/>
      <c r="O2" s="288"/>
    </row>
    <row r="3" spans="1:15" ht="15" customHeight="1">
      <c r="A3" s="943" t="s">
        <v>566</v>
      </c>
      <c r="B3" s="944"/>
      <c r="C3" s="944"/>
      <c r="D3" s="944" t="s">
        <v>299</v>
      </c>
      <c r="E3" s="944"/>
      <c r="F3" s="944"/>
      <c r="G3" s="944"/>
      <c r="H3" s="944"/>
      <c r="I3" s="944"/>
      <c r="J3" s="944"/>
      <c r="K3" s="944"/>
      <c r="L3" s="944"/>
      <c r="M3" s="944"/>
      <c r="N3" s="944"/>
      <c r="O3" s="282"/>
    </row>
    <row r="4" spans="1:15" ht="15" customHeight="1">
      <c r="A4" s="943" t="s">
        <v>567</v>
      </c>
      <c r="B4" s="944"/>
      <c r="C4" s="944"/>
      <c r="D4" s="944" t="s">
        <v>299</v>
      </c>
      <c r="E4" s="944"/>
      <c r="F4" s="944"/>
      <c r="G4" s="944"/>
      <c r="H4" s="944"/>
      <c r="I4" s="944"/>
      <c r="J4" s="944"/>
      <c r="K4" s="944"/>
      <c r="L4" s="944"/>
      <c r="M4" s="944"/>
      <c r="N4" s="944"/>
      <c r="O4" s="282"/>
    </row>
    <row r="5" spans="1:15" ht="15" customHeight="1">
      <c r="A5" s="943" t="s">
        <v>568</v>
      </c>
      <c r="B5" s="944"/>
      <c r="C5" s="944"/>
      <c r="D5" s="944" t="s">
        <v>299</v>
      </c>
      <c r="E5" s="944"/>
      <c r="F5" s="944"/>
      <c r="G5" s="944"/>
      <c r="H5" s="944"/>
      <c r="I5" s="944"/>
      <c r="J5" s="944"/>
      <c r="K5" s="944"/>
      <c r="L5" s="944"/>
      <c r="M5" s="944"/>
      <c r="N5" s="944"/>
      <c r="O5" s="282"/>
    </row>
    <row r="6" spans="1:15" ht="18.75">
      <c r="A6" s="873" t="s">
        <v>569</v>
      </c>
      <c r="B6" s="874"/>
      <c r="C6" s="874"/>
      <c r="D6" s="874"/>
      <c r="E6" s="874"/>
      <c r="F6" s="874"/>
      <c r="G6" s="874"/>
      <c r="H6" s="874"/>
      <c r="I6" s="874"/>
      <c r="J6" s="874"/>
      <c r="K6" s="874"/>
      <c r="L6" s="874"/>
      <c r="M6" s="874"/>
      <c r="N6" s="875"/>
      <c r="O6" s="282"/>
    </row>
    <row r="7" spans="1:15" ht="45">
      <c r="A7" s="289" t="s">
        <v>570</v>
      </c>
      <c r="B7" s="290" t="s">
        <v>571</v>
      </c>
      <c r="C7" s="290" t="s">
        <v>572</v>
      </c>
      <c r="D7" s="290" t="s">
        <v>573</v>
      </c>
      <c r="E7" s="290" t="s">
        <v>574</v>
      </c>
      <c r="F7" s="290" t="s">
        <v>575</v>
      </c>
      <c r="G7" s="290" t="s">
        <v>576</v>
      </c>
      <c r="H7" s="290" t="s">
        <v>577</v>
      </c>
      <c r="I7" s="290" t="s">
        <v>260</v>
      </c>
      <c r="J7" s="290" t="s">
        <v>578</v>
      </c>
      <c r="K7" s="290" t="s">
        <v>579</v>
      </c>
      <c r="L7" s="290" t="s">
        <v>580</v>
      </c>
      <c r="M7" s="290" t="s">
        <v>581</v>
      </c>
      <c r="N7" s="290" t="s">
        <v>582</v>
      </c>
      <c r="O7" s="282"/>
    </row>
    <row r="8" spans="1:15" ht="15.75">
      <c r="A8" s="518" t="s">
        <v>299</v>
      </c>
      <c r="B8" s="519" t="s">
        <v>299</v>
      </c>
      <c r="C8" s="519" t="s">
        <v>299</v>
      </c>
      <c r="D8" s="520" t="s">
        <v>299</v>
      </c>
      <c r="E8" s="520" t="s">
        <v>299</v>
      </c>
      <c r="F8" s="520">
        <v>0</v>
      </c>
      <c r="G8" s="520">
        <v>1</v>
      </c>
      <c r="H8" s="520" t="s">
        <v>55</v>
      </c>
      <c r="I8" s="520" t="s">
        <v>191</v>
      </c>
      <c r="J8" s="520" t="s">
        <v>299</v>
      </c>
      <c r="K8" s="520" t="s">
        <v>299</v>
      </c>
      <c r="L8" s="521" t="s">
        <v>299</v>
      </c>
      <c r="M8" s="520" t="s">
        <v>299</v>
      </c>
      <c r="N8" s="520" t="s">
        <v>299</v>
      </c>
      <c r="O8" s="282"/>
    </row>
    <row r="9" spans="1:15" ht="15.75">
      <c r="A9" s="522" t="s">
        <v>299</v>
      </c>
      <c r="B9" s="523" t="s">
        <v>299</v>
      </c>
      <c r="C9" s="523" t="s">
        <v>299</v>
      </c>
      <c r="D9" s="524" t="s">
        <v>299</v>
      </c>
      <c r="E9" s="524" t="s">
        <v>299</v>
      </c>
      <c r="F9" s="520">
        <v>0</v>
      </c>
      <c r="G9" s="520" t="s">
        <v>299</v>
      </c>
      <c r="H9" s="520" t="s">
        <v>299</v>
      </c>
      <c r="I9" s="524" t="s">
        <v>299</v>
      </c>
      <c r="J9" s="524" t="s">
        <v>299</v>
      </c>
      <c r="K9" s="524" t="s">
        <v>299</v>
      </c>
      <c r="L9" s="291" t="s">
        <v>299</v>
      </c>
      <c r="M9" s="524" t="s">
        <v>299</v>
      </c>
      <c r="N9" s="524" t="s">
        <v>299</v>
      </c>
      <c r="O9" s="292" t="s">
        <v>299</v>
      </c>
    </row>
    <row r="10" spans="1:15">
      <c r="A10" s="293" t="s">
        <v>299</v>
      </c>
      <c r="B10" s="294" t="s">
        <v>299</v>
      </c>
      <c r="C10" s="294" t="s">
        <v>299</v>
      </c>
      <c r="D10" s="291" t="s">
        <v>299</v>
      </c>
      <c r="E10" s="291" t="s">
        <v>299</v>
      </c>
      <c r="F10" s="520">
        <v>0</v>
      </c>
      <c r="G10" s="520" t="s">
        <v>299</v>
      </c>
      <c r="H10" s="520" t="s">
        <v>299</v>
      </c>
      <c r="I10" s="291" t="s">
        <v>299</v>
      </c>
      <c r="J10" s="291" t="s">
        <v>299</v>
      </c>
      <c r="K10" s="291" t="s">
        <v>299</v>
      </c>
      <c r="L10" s="291" t="s">
        <v>299</v>
      </c>
      <c r="M10" s="291" t="s">
        <v>299</v>
      </c>
      <c r="N10" s="291" t="s">
        <v>299</v>
      </c>
      <c r="O10" s="295" t="s">
        <v>299</v>
      </c>
    </row>
    <row r="11" spans="1:15">
      <c r="A11" s="293" t="s">
        <v>299</v>
      </c>
      <c r="B11" s="294" t="s">
        <v>299</v>
      </c>
      <c r="C11" s="294" t="s">
        <v>299</v>
      </c>
      <c r="D11" s="291" t="s">
        <v>299</v>
      </c>
      <c r="E11" s="291" t="s">
        <v>299</v>
      </c>
      <c r="F11" s="520">
        <v>0</v>
      </c>
      <c r="G11" s="520" t="s">
        <v>299</v>
      </c>
      <c r="H11" s="520" t="s">
        <v>299</v>
      </c>
      <c r="I11" s="291" t="s">
        <v>299</v>
      </c>
      <c r="J11" s="291" t="s">
        <v>299</v>
      </c>
      <c r="K11" s="291" t="s">
        <v>299</v>
      </c>
      <c r="L11" s="291" t="s">
        <v>299</v>
      </c>
      <c r="M11" s="291" t="s">
        <v>299</v>
      </c>
      <c r="N11" s="291" t="s">
        <v>299</v>
      </c>
      <c r="O11" s="295" t="s">
        <v>299</v>
      </c>
    </row>
    <row r="12" spans="1:15">
      <c r="A12" s="293" t="s">
        <v>299</v>
      </c>
      <c r="B12" s="294" t="s">
        <v>299</v>
      </c>
      <c r="C12" s="294" t="s">
        <v>299</v>
      </c>
      <c r="D12" s="291" t="s">
        <v>299</v>
      </c>
      <c r="E12" s="291" t="s">
        <v>299</v>
      </c>
      <c r="F12" s="520">
        <v>0</v>
      </c>
      <c r="G12" s="520" t="s">
        <v>299</v>
      </c>
      <c r="H12" s="520" t="s">
        <v>299</v>
      </c>
      <c r="I12" s="291" t="s">
        <v>299</v>
      </c>
      <c r="J12" s="291" t="s">
        <v>299</v>
      </c>
      <c r="K12" s="291" t="s">
        <v>299</v>
      </c>
      <c r="L12" s="291" t="s">
        <v>299</v>
      </c>
      <c r="M12" s="291" t="s">
        <v>299</v>
      </c>
      <c r="N12" s="291" t="s">
        <v>299</v>
      </c>
      <c r="O12" s="295" t="s">
        <v>299</v>
      </c>
    </row>
    <row r="13" spans="1:15" ht="15.75">
      <c r="A13" s="522" t="s">
        <v>299</v>
      </c>
      <c r="B13" s="523" t="s">
        <v>299</v>
      </c>
      <c r="C13" s="523" t="s">
        <v>299</v>
      </c>
      <c r="D13" s="524" t="s">
        <v>299</v>
      </c>
      <c r="E13" s="524" t="s">
        <v>299</v>
      </c>
      <c r="F13" s="520">
        <v>0</v>
      </c>
      <c r="G13" s="520" t="s">
        <v>299</v>
      </c>
      <c r="H13" s="520" t="s">
        <v>299</v>
      </c>
      <c r="I13" s="524" t="s">
        <v>299</v>
      </c>
      <c r="J13" s="524" t="s">
        <v>299</v>
      </c>
      <c r="K13" s="291" t="s">
        <v>299</v>
      </c>
      <c r="L13" s="291" t="s">
        <v>299</v>
      </c>
      <c r="M13" s="291" t="s">
        <v>299</v>
      </c>
      <c r="N13" s="291" t="s">
        <v>299</v>
      </c>
      <c r="O13" s="292" t="s">
        <v>299</v>
      </c>
    </row>
    <row r="14" spans="1:15" ht="15.75">
      <c r="A14" s="522" t="s">
        <v>299</v>
      </c>
      <c r="B14" s="523" t="s">
        <v>299</v>
      </c>
      <c r="C14" s="523" t="s">
        <v>299</v>
      </c>
      <c r="D14" s="524" t="s">
        <v>299</v>
      </c>
      <c r="E14" s="524" t="s">
        <v>299</v>
      </c>
      <c r="F14" s="520">
        <v>0</v>
      </c>
      <c r="G14" s="520" t="s">
        <v>299</v>
      </c>
      <c r="H14" s="520" t="s">
        <v>299</v>
      </c>
      <c r="I14" s="524" t="s">
        <v>299</v>
      </c>
      <c r="J14" s="524" t="s">
        <v>299</v>
      </c>
      <c r="K14" s="524" t="s">
        <v>299</v>
      </c>
      <c r="L14" s="524" t="s">
        <v>299</v>
      </c>
      <c r="M14" s="524" t="s">
        <v>299</v>
      </c>
      <c r="N14" s="524" t="s">
        <v>299</v>
      </c>
      <c r="O14" s="292" t="s">
        <v>299</v>
      </c>
    </row>
    <row r="15" spans="1:15" ht="15.75">
      <c r="A15" s="522" t="s">
        <v>299</v>
      </c>
      <c r="B15" s="525" t="s">
        <v>299</v>
      </c>
      <c r="C15" s="525" t="s">
        <v>299</v>
      </c>
      <c r="D15" s="526" t="s">
        <v>299</v>
      </c>
      <c r="E15" s="526" t="s">
        <v>299</v>
      </c>
      <c r="F15" s="520">
        <v>0</v>
      </c>
      <c r="G15" s="520" t="s">
        <v>299</v>
      </c>
      <c r="H15" s="520" t="s">
        <v>299</v>
      </c>
      <c r="I15" s="526" t="s">
        <v>299</v>
      </c>
      <c r="J15" s="526" t="s">
        <v>299</v>
      </c>
      <c r="K15" s="526" t="s">
        <v>299</v>
      </c>
      <c r="L15" s="524" t="s">
        <v>299</v>
      </c>
      <c r="M15" s="524" t="s">
        <v>299</v>
      </c>
      <c r="N15" s="524" t="s">
        <v>299</v>
      </c>
      <c r="O15" s="292" t="s">
        <v>299</v>
      </c>
    </row>
    <row r="16" spans="1:15" ht="15.75">
      <c r="A16" s="527" t="s">
        <v>299</v>
      </c>
      <c r="B16" s="528" t="s">
        <v>299</v>
      </c>
      <c r="C16" s="529" t="s">
        <v>299</v>
      </c>
      <c r="D16" s="471" t="s">
        <v>299</v>
      </c>
      <c r="E16" s="471" t="s">
        <v>299</v>
      </c>
      <c r="F16" s="520">
        <v>0</v>
      </c>
      <c r="G16" s="520" t="s">
        <v>299</v>
      </c>
      <c r="H16" s="520" t="s">
        <v>299</v>
      </c>
      <c r="I16" s="471" t="s">
        <v>299</v>
      </c>
      <c r="J16" s="471" t="s">
        <v>299</v>
      </c>
      <c r="K16" s="471" t="s">
        <v>299</v>
      </c>
      <c r="L16" s="524" t="s">
        <v>299</v>
      </c>
      <c r="M16" s="524" t="s">
        <v>299</v>
      </c>
      <c r="N16" s="524" t="s">
        <v>299</v>
      </c>
      <c r="O16" s="292" t="s">
        <v>299</v>
      </c>
    </row>
    <row r="17" spans="1:15" ht="15.75">
      <c r="A17" s="296" t="s">
        <v>299</v>
      </c>
      <c r="B17" s="293" t="s">
        <v>299</v>
      </c>
      <c r="C17" s="294" t="s">
        <v>299</v>
      </c>
      <c r="D17" s="291" t="s">
        <v>299</v>
      </c>
      <c r="E17" s="291" t="s">
        <v>299</v>
      </c>
      <c r="F17" s="520">
        <v>0</v>
      </c>
      <c r="G17" s="520" t="s">
        <v>299</v>
      </c>
      <c r="H17" s="520" t="s">
        <v>299</v>
      </c>
      <c r="I17" s="291" t="s">
        <v>299</v>
      </c>
      <c r="J17" s="291" t="s">
        <v>299</v>
      </c>
      <c r="K17" s="291" t="s">
        <v>299</v>
      </c>
      <c r="L17" s="297" t="s">
        <v>299</v>
      </c>
      <c r="M17" s="291" t="s">
        <v>299</v>
      </c>
      <c r="N17" s="291" t="s">
        <v>299</v>
      </c>
      <c r="O17" s="298" t="s">
        <v>299</v>
      </c>
    </row>
    <row r="18" spans="1:15" ht="15.75">
      <c r="A18" s="296" t="s">
        <v>299</v>
      </c>
      <c r="B18" s="293" t="s">
        <v>299</v>
      </c>
      <c r="C18" s="294" t="s">
        <v>299</v>
      </c>
      <c r="D18" s="291" t="s">
        <v>299</v>
      </c>
      <c r="E18" s="291" t="s">
        <v>299</v>
      </c>
      <c r="F18" s="520">
        <v>0</v>
      </c>
      <c r="G18" s="520" t="s">
        <v>299</v>
      </c>
      <c r="H18" s="520" t="s">
        <v>299</v>
      </c>
      <c r="I18" s="291" t="s">
        <v>299</v>
      </c>
      <c r="J18" s="291" t="s">
        <v>299</v>
      </c>
      <c r="K18" s="291" t="s">
        <v>299</v>
      </c>
      <c r="L18" s="297" t="s">
        <v>299</v>
      </c>
      <c r="M18" s="291" t="s">
        <v>299</v>
      </c>
      <c r="N18" s="291" t="s">
        <v>299</v>
      </c>
      <c r="O18" s="298" t="s">
        <v>299</v>
      </c>
    </row>
    <row r="19" spans="1:15" ht="15.75">
      <c r="A19" s="530" t="s">
        <v>299</v>
      </c>
      <c r="B19" s="531" t="s">
        <v>299</v>
      </c>
      <c r="C19" s="525" t="s">
        <v>299</v>
      </c>
      <c r="D19" s="526" t="s">
        <v>299</v>
      </c>
      <c r="E19" s="526" t="s">
        <v>299</v>
      </c>
      <c r="F19" s="520">
        <v>0</v>
      </c>
      <c r="G19" s="520" t="s">
        <v>299</v>
      </c>
      <c r="H19" s="520" t="s">
        <v>299</v>
      </c>
      <c r="I19" s="526" t="s">
        <v>299</v>
      </c>
      <c r="J19" s="526" t="s">
        <v>299</v>
      </c>
      <c r="K19" s="299" t="s">
        <v>299</v>
      </c>
      <c r="L19" s="532" t="s">
        <v>299</v>
      </c>
      <c r="M19" s="299" t="s">
        <v>299</v>
      </c>
      <c r="N19" s="299" t="s">
        <v>299</v>
      </c>
      <c r="O19" s="300" t="s">
        <v>299</v>
      </c>
    </row>
    <row r="20" spans="1:15" ht="15.75">
      <c r="A20" s="533" t="s">
        <v>299</v>
      </c>
      <c r="B20" s="534" t="s">
        <v>299</v>
      </c>
      <c r="C20" s="534" t="s">
        <v>299</v>
      </c>
      <c r="D20" s="535" t="s">
        <v>299</v>
      </c>
      <c r="E20" s="535" t="s">
        <v>299</v>
      </c>
      <c r="F20" s="520">
        <v>0</v>
      </c>
      <c r="G20" s="520" t="s">
        <v>299</v>
      </c>
      <c r="H20" s="520" t="s">
        <v>299</v>
      </c>
      <c r="I20" s="535" t="s">
        <v>299</v>
      </c>
      <c r="J20" s="535" t="s">
        <v>299</v>
      </c>
      <c r="K20" s="535" t="s">
        <v>299</v>
      </c>
      <c r="L20" s="301" t="s">
        <v>299</v>
      </c>
      <c r="M20" s="301" t="s">
        <v>299</v>
      </c>
      <c r="N20" s="301" t="s">
        <v>299</v>
      </c>
      <c r="O20" s="292" t="s">
        <v>299</v>
      </c>
    </row>
    <row r="21" spans="1:15" ht="15.75">
      <c r="A21" s="536" t="s">
        <v>299</v>
      </c>
      <c r="B21" s="537" t="s">
        <v>299</v>
      </c>
      <c r="C21" s="537" t="s">
        <v>299</v>
      </c>
      <c r="D21" s="538" t="s">
        <v>299</v>
      </c>
      <c r="E21" s="538" t="s">
        <v>299</v>
      </c>
      <c r="F21" s="520">
        <v>0</v>
      </c>
      <c r="G21" s="520" t="s">
        <v>299</v>
      </c>
      <c r="H21" s="520" t="s">
        <v>299</v>
      </c>
      <c r="I21" s="538" t="s">
        <v>299</v>
      </c>
      <c r="J21" s="538" t="s">
        <v>299</v>
      </c>
      <c r="K21" s="538" t="s">
        <v>299</v>
      </c>
      <c r="L21" s="538" t="s">
        <v>299</v>
      </c>
      <c r="M21" s="297" t="s">
        <v>299</v>
      </c>
      <c r="N21" s="297" t="s">
        <v>299</v>
      </c>
      <c r="O21" s="292" t="s">
        <v>299</v>
      </c>
    </row>
    <row r="22" spans="1:15" ht="15.75">
      <c r="A22" s="536" t="s">
        <v>299</v>
      </c>
      <c r="B22" s="537" t="s">
        <v>299</v>
      </c>
      <c r="C22" s="537" t="s">
        <v>299</v>
      </c>
      <c r="D22" s="538" t="s">
        <v>299</v>
      </c>
      <c r="E22" s="538" t="s">
        <v>299</v>
      </c>
      <c r="F22" s="520">
        <v>0</v>
      </c>
      <c r="G22" s="520" t="s">
        <v>299</v>
      </c>
      <c r="H22" s="520" t="s">
        <v>299</v>
      </c>
      <c r="I22" s="538" t="s">
        <v>299</v>
      </c>
      <c r="J22" s="538" t="s">
        <v>299</v>
      </c>
      <c r="K22" s="538" t="s">
        <v>299</v>
      </c>
      <c r="L22" s="538" t="s">
        <v>299</v>
      </c>
      <c r="M22" s="291" t="s">
        <v>299</v>
      </c>
      <c r="N22" s="291" t="s">
        <v>299</v>
      </c>
      <c r="O22" s="292" t="s">
        <v>299</v>
      </c>
    </row>
    <row r="23" spans="1:15" ht="15.75">
      <c r="A23" s="536" t="s">
        <v>299</v>
      </c>
      <c r="B23" s="537" t="s">
        <v>299</v>
      </c>
      <c r="C23" s="537" t="s">
        <v>299</v>
      </c>
      <c r="D23" s="538" t="s">
        <v>299</v>
      </c>
      <c r="E23" s="538" t="s">
        <v>299</v>
      </c>
      <c r="F23" s="520">
        <v>0</v>
      </c>
      <c r="G23" s="520" t="s">
        <v>299</v>
      </c>
      <c r="H23" s="520" t="s">
        <v>299</v>
      </c>
      <c r="I23" s="538" t="s">
        <v>299</v>
      </c>
      <c r="J23" s="538" t="s">
        <v>299</v>
      </c>
      <c r="K23" s="538" t="s">
        <v>299</v>
      </c>
      <c r="L23" s="297" t="s">
        <v>299</v>
      </c>
      <c r="M23" s="291" t="s">
        <v>299</v>
      </c>
      <c r="N23" s="291" t="s">
        <v>299</v>
      </c>
      <c r="O23" s="292" t="s">
        <v>299</v>
      </c>
    </row>
    <row r="24" spans="1:15" ht="15.75">
      <c r="A24" s="536" t="s">
        <v>299</v>
      </c>
      <c r="B24" s="537" t="s">
        <v>299</v>
      </c>
      <c r="C24" s="537" t="s">
        <v>299</v>
      </c>
      <c r="D24" s="538" t="s">
        <v>299</v>
      </c>
      <c r="E24" s="538" t="s">
        <v>299</v>
      </c>
      <c r="F24" s="520">
        <v>0</v>
      </c>
      <c r="G24" s="520" t="s">
        <v>299</v>
      </c>
      <c r="H24" s="520" t="s">
        <v>299</v>
      </c>
      <c r="I24" s="538" t="s">
        <v>299</v>
      </c>
      <c r="J24" s="538" t="s">
        <v>299</v>
      </c>
      <c r="K24" s="538" t="s">
        <v>299</v>
      </c>
      <c r="L24" s="297" t="s">
        <v>299</v>
      </c>
      <c r="M24" s="291" t="s">
        <v>299</v>
      </c>
      <c r="N24" s="291" t="s">
        <v>299</v>
      </c>
      <c r="O24" s="292" t="s">
        <v>299</v>
      </c>
    </row>
    <row r="25" spans="1:15" ht="15.75">
      <c r="A25" s="539" t="s">
        <v>299</v>
      </c>
      <c r="B25" s="540" t="s">
        <v>299</v>
      </c>
      <c r="C25" s="540" t="s">
        <v>299</v>
      </c>
      <c r="D25" s="541" t="s">
        <v>299</v>
      </c>
      <c r="E25" s="541" t="s">
        <v>299</v>
      </c>
      <c r="F25" s="520">
        <v>0</v>
      </c>
      <c r="G25" s="520" t="s">
        <v>299</v>
      </c>
      <c r="H25" s="520" t="s">
        <v>299</v>
      </c>
      <c r="I25" s="541" t="s">
        <v>299</v>
      </c>
      <c r="J25" s="541" t="s">
        <v>299</v>
      </c>
      <c r="K25" s="541" t="s">
        <v>299</v>
      </c>
      <c r="L25" s="541" t="s">
        <v>299</v>
      </c>
      <c r="M25" s="291" t="s">
        <v>299</v>
      </c>
      <c r="N25" s="291" t="s">
        <v>299</v>
      </c>
      <c r="O25" s="300" t="s">
        <v>299</v>
      </c>
    </row>
    <row r="26" spans="1:15" ht="15.75">
      <c r="A26" s="539" t="s">
        <v>299</v>
      </c>
      <c r="B26" s="540" t="s">
        <v>299</v>
      </c>
      <c r="C26" s="540" t="s">
        <v>299</v>
      </c>
      <c r="D26" s="541" t="s">
        <v>299</v>
      </c>
      <c r="E26" s="541" t="s">
        <v>299</v>
      </c>
      <c r="F26" s="520">
        <v>0</v>
      </c>
      <c r="G26" s="520" t="s">
        <v>299</v>
      </c>
      <c r="H26" s="520" t="s">
        <v>299</v>
      </c>
      <c r="I26" s="541" t="s">
        <v>299</v>
      </c>
      <c r="J26" s="541" t="s">
        <v>299</v>
      </c>
      <c r="K26" s="541" t="s">
        <v>299</v>
      </c>
      <c r="L26" s="541" t="s">
        <v>299</v>
      </c>
      <c r="M26" s="291" t="s">
        <v>299</v>
      </c>
      <c r="N26" s="291" t="s">
        <v>299</v>
      </c>
      <c r="O26" s="300" t="s">
        <v>299</v>
      </c>
    </row>
    <row r="27" spans="1:15" ht="15.75">
      <c r="A27" s="539" t="s">
        <v>299</v>
      </c>
      <c r="B27" s="540" t="s">
        <v>299</v>
      </c>
      <c r="C27" s="540" t="s">
        <v>299</v>
      </c>
      <c r="D27" s="541" t="s">
        <v>299</v>
      </c>
      <c r="E27" s="541" t="s">
        <v>299</v>
      </c>
      <c r="F27" s="520">
        <v>0</v>
      </c>
      <c r="G27" s="520" t="s">
        <v>299</v>
      </c>
      <c r="H27" s="520" t="s">
        <v>299</v>
      </c>
      <c r="I27" s="541" t="s">
        <v>299</v>
      </c>
      <c r="J27" s="541" t="s">
        <v>299</v>
      </c>
      <c r="K27" s="541" t="s">
        <v>299</v>
      </c>
      <c r="L27" s="541" t="s">
        <v>299</v>
      </c>
      <c r="M27" s="291" t="s">
        <v>299</v>
      </c>
      <c r="N27" s="291" t="s">
        <v>299</v>
      </c>
      <c r="O27" s="300" t="s">
        <v>299</v>
      </c>
    </row>
    <row r="28" spans="1:15" ht="15.75">
      <c r="A28" s="539" t="s">
        <v>299</v>
      </c>
      <c r="B28" s="540" t="s">
        <v>299</v>
      </c>
      <c r="C28" s="540" t="s">
        <v>299</v>
      </c>
      <c r="D28" s="541" t="s">
        <v>299</v>
      </c>
      <c r="E28" s="541" t="s">
        <v>299</v>
      </c>
      <c r="F28" s="520">
        <v>0</v>
      </c>
      <c r="G28" s="520" t="s">
        <v>299</v>
      </c>
      <c r="H28" s="520" t="s">
        <v>299</v>
      </c>
      <c r="I28" s="541" t="s">
        <v>299</v>
      </c>
      <c r="J28" s="541" t="s">
        <v>299</v>
      </c>
      <c r="K28" s="541" t="s">
        <v>299</v>
      </c>
      <c r="L28" s="541" t="s">
        <v>299</v>
      </c>
      <c r="M28" s="291" t="s">
        <v>299</v>
      </c>
      <c r="N28" s="291" t="s">
        <v>299</v>
      </c>
      <c r="O28" s="300" t="s">
        <v>299</v>
      </c>
    </row>
    <row r="29" spans="1:15" ht="15.75">
      <c r="A29" s="539" t="s">
        <v>299</v>
      </c>
      <c r="B29" s="540" t="s">
        <v>299</v>
      </c>
      <c r="C29" s="540" t="s">
        <v>299</v>
      </c>
      <c r="D29" s="541" t="s">
        <v>299</v>
      </c>
      <c r="E29" s="541" t="s">
        <v>299</v>
      </c>
      <c r="F29" s="520">
        <v>0</v>
      </c>
      <c r="G29" s="520" t="s">
        <v>299</v>
      </c>
      <c r="H29" s="520" t="s">
        <v>299</v>
      </c>
      <c r="I29" s="541" t="s">
        <v>299</v>
      </c>
      <c r="J29" s="541" t="s">
        <v>299</v>
      </c>
      <c r="K29" s="541" t="s">
        <v>299</v>
      </c>
      <c r="L29" s="541" t="s">
        <v>299</v>
      </c>
      <c r="M29" s="291" t="s">
        <v>299</v>
      </c>
      <c r="N29" s="291" t="s">
        <v>299</v>
      </c>
      <c r="O29" s="300" t="s">
        <v>299</v>
      </c>
    </row>
    <row r="30" spans="1:15" ht="15.75">
      <c r="A30" s="539" t="s">
        <v>299</v>
      </c>
      <c r="B30" s="540" t="s">
        <v>299</v>
      </c>
      <c r="C30" s="540" t="s">
        <v>299</v>
      </c>
      <c r="D30" s="541" t="s">
        <v>299</v>
      </c>
      <c r="E30" s="541" t="s">
        <v>299</v>
      </c>
      <c r="F30" s="520">
        <v>0</v>
      </c>
      <c r="G30" s="520" t="s">
        <v>299</v>
      </c>
      <c r="H30" s="520" t="s">
        <v>299</v>
      </c>
      <c r="I30" s="541" t="s">
        <v>299</v>
      </c>
      <c r="J30" s="541" t="s">
        <v>299</v>
      </c>
      <c r="K30" s="541" t="s">
        <v>299</v>
      </c>
      <c r="L30" s="541" t="s">
        <v>299</v>
      </c>
      <c r="M30" s="291" t="s">
        <v>299</v>
      </c>
      <c r="N30" s="291" t="s">
        <v>299</v>
      </c>
      <c r="O30" s="300" t="s">
        <v>299</v>
      </c>
    </row>
    <row r="31" spans="1:15" ht="15.75">
      <c r="A31" s="539" t="s">
        <v>299</v>
      </c>
      <c r="B31" s="540" t="s">
        <v>299</v>
      </c>
      <c r="C31" s="540" t="s">
        <v>299</v>
      </c>
      <c r="D31" s="541" t="s">
        <v>299</v>
      </c>
      <c r="E31" s="541" t="s">
        <v>299</v>
      </c>
      <c r="F31" s="520">
        <v>0</v>
      </c>
      <c r="G31" s="520" t="s">
        <v>299</v>
      </c>
      <c r="H31" s="520" t="s">
        <v>299</v>
      </c>
      <c r="I31" s="541" t="s">
        <v>299</v>
      </c>
      <c r="J31" s="541" t="s">
        <v>299</v>
      </c>
      <c r="K31" s="541" t="s">
        <v>299</v>
      </c>
      <c r="L31" s="541" t="s">
        <v>299</v>
      </c>
      <c r="M31" s="291" t="s">
        <v>299</v>
      </c>
      <c r="N31" s="291" t="s">
        <v>299</v>
      </c>
      <c r="O31" s="300" t="s">
        <v>299</v>
      </c>
    </row>
    <row r="32" spans="1:15">
      <c r="A32" s="302" t="s">
        <v>299</v>
      </c>
      <c r="B32" s="303" t="s">
        <v>299</v>
      </c>
      <c r="C32" s="303" t="s">
        <v>299</v>
      </c>
      <c r="D32" s="303" t="s">
        <v>299</v>
      </c>
      <c r="E32" s="303" t="s">
        <v>299</v>
      </c>
      <c r="F32" s="520">
        <v>0</v>
      </c>
      <c r="G32" s="520" t="s">
        <v>299</v>
      </c>
      <c r="H32" s="520" t="s">
        <v>299</v>
      </c>
      <c r="I32" s="303" t="s">
        <v>299</v>
      </c>
      <c r="J32" s="303" t="s">
        <v>299</v>
      </c>
      <c r="K32" s="303" t="s">
        <v>299</v>
      </c>
      <c r="L32" s="303" t="s">
        <v>299</v>
      </c>
      <c r="M32" s="291" t="s">
        <v>299</v>
      </c>
      <c r="N32" s="291" t="s">
        <v>299</v>
      </c>
      <c r="O32" s="292" t="s">
        <v>299</v>
      </c>
    </row>
    <row r="33" spans="1:15">
      <c r="A33" s="302" t="s">
        <v>299</v>
      </c>
      <c r="B33" s="303" t="s">
        <v>299</v>
      </c>
      <c r="C33" s="303" t="s">
        <v>299</v>
      </c>
      <c r="D33" s="303" t="s">
        <v>299</v>
      </c>
      <c r="E33" s="303" t="s">
        <v>299</v>
      </c>
      <c r="F33" s="520">
        <v>0</v>
      </c>
      <c r="G33" s="520" t="s">
        <v>299</v>
      </c>
      <c r="H33" s="520" t="s">
        <v>299</v>
      </c>
      <c r="I33" s="303" t="s">
        <v>299</v>
      </c>
      <c r="J33" s="303" t="s">
        <v>299</v>
      </c>
      <c r="K33" s="303" t="s">
        <v>299</v>
      </c>
      <c r="L33" s="303" t="s">
        <v>299</v>
      </c>
      <c r="M33" s="291" t="s">
        <v>299</v>
      </c>
      <c r="N33" s="291" t="s">
        <v>299</v>
      </c>
      <c r="O33" s="292" t="s">
        <v>299</v>
      </c>
    </row>
    <row r="34" spans="1:15" ht="15.75">
      <c r="A34" s="304" t="s">
        <v>299</v>
      </c>
      <c r="B34" s="305" t="s">
        <v>299</v>
      </c>
      <c r="C34" s="305" t="s">
        <v>299</v>
      </c>
      <c r="D34" s="303" t="s">
        <v>299</v>
      </c>
      <c r="E34" s="303" t="s">
        <v>299</v>
      </c>
      <c r="F34" s="520">
        <v>0</v>
      </c>
      <c r="G34" s="520" t="s">
        <v>299</v>
      </c>
      <c r="H34" s="520" t="s">
        <v>299</v>
      </c>
      <c r="I34" s="303" t="s">
        <v>299</v>
      </c>
      <c r="J34" s="303" t="s">
        <v>299</v>
      </c>
      <c r="K34" s="303" t="s">
        <v>299</v>
      </c>
      <c r="L34" s="303" t="s">
        <v>299</v>
      </c>
      <c r="M34" s="291" t="s">
        <v>299</v>
      </c>
      <c r="N34" s="291" t="s">
        <v>299</v>
      </c>
      <c r="O34" s="298" t="s">
        <v>299</v>
      </c>
    </row>
    <row r="35" spans="1:15">
      <c r="A35" s="302" t="s">
        <v>299</v>
      </c>
      <c r="B35" s="303" t="s">
        <v>299</v>
      </c>
      <c r="C35" s="303" t="s">
        <v>299</v>
      </c>
      <c r="D35" s="303" t="s">
        <v>299</v>
      </c>
      <c r="E35" s="303" t="s">
        <v>299</v>
      </c>
      <c r="F35" s="520">
        <v>0</v>
      </c>
      <c r="G35" s="520" t="s">
        <v>299</v>
      </c>
      <c r="H35" s="520" t="s">
        <v>299</v>
      </c>
      <c r="I35" s="303" t="s">
        <v>299</v>
      </c>
      <c r="J35" s="303" t="s">
        <v>299</v>
      </c>
      <c r="K35" s="303" t="s">
        <v>299</v>
      </c>
      <c r="L35" s="303" t="s">
        <v>299</v>
      </c>
      <c r="M35" s="291" t="s">
        <v>299</v>
      </c>
      <c r="N35" s="291" t="s">
        <v>299</v>
      </c>
      <c r="O35" s="295" t="s">
        <v>299</v>
      </c>
    </row>
    <row r="36" spans="1:15">
      <c r="A36" s="302" t="s">
        <v>299</v>
      </c>
      <c r="B36" s="303" t="s">
        <v>299</v>
      </c>
      <c r="C36" s="303" t="s">
        <v>299</v>
      </c>
      <c r="D36" s="303" t="s">
        <v>299</v>
      </c>
      <c r="E36" s="303" t="s">
        <v>299</v>
      </c>
      <c r="F36" s="520">
        <v>0</v>
      </c>
      <c r="G36" s="520" t="s">
        <v>299</v>
      </c>
      <c r="H36" s="520" t="s">
        <v>299</v>
      </c>
      <c r="I36" s="303" t="s">
        <v>299</v>
      </c>
      <c r="J36" s="303" t="s">
        <v>299</v>
      </c>
      <c r="K36" s="303" t="s">
        <v>299</v>
      </c>
      <c r="L36" s="303" t="s">
        <v>299</v>
      </c>
      <c r="M36" s="291" t="s">
        <v>299</v>
      </c>
      <c r="N36" s="291" t="s">
        <v>299</v>
      </c>
      <c r="O36" s="295" t="s">
        <v>299</v>
      </c>
    </row>
    <row r="37" spans="1:15">
      <c r="A37" s="302" t="s">
        <v>299</v>
      </c>
      <c r="B37" s="303" t="s">
        <v>299</v>
      </c>
      <c r="C37" s="303" t="s">
        <v>299</v>
      </c>
      <c r="D37" s="303" t="s">
        <v>299</v>
      </c>
      <c r="E37" s="303" t="s">
        <v>299</v>
      </c>
      <c r="F37" s="520">
        <v>0</v>
      </c>
      <c r="G37" s="520" t="s">
        <v>299</v>
      </c>
      <c r="H37" s="520" t="s">
        <v>299</v>
      </c>
      <c r="I37" s="303" t="s">
        <v>299</v>
      </c>
      <c r="J37" s="303" t="s">
        <v>299</v>
      </c>
      <c r="K37" s="303" t="s">
        <v>299</v>
      </c>
      <c r="L37" s="303" t="s">
        <v>299</v>
      </c>
      <c r="M37" s="291" t="s">
        <v>299</v>
      </c>
      <c r="N37" s="291" t="s">
        <v>299</v>
      </c>
      <c r="O37" s="295" t="s">
        <v>299</v>
      </c>
    </row>
    <row r="38" spans="1:15">
      <c r="A38" s="302" t="s">
        <v>299</v>
      </c>
      <c r="B38" s="303" t="s">
        <v>299</v>
      </c>
      <c r="C38" s="303" t="s">
        <v>299</v>
      </c>
      <c r="D38" s="303" t="s">
        <v>299</v>
      </c>
      <c r="E38" s="303" t="s">
        <v>299</v>
      </c>
      <c r="F38" s="520">
        <v>0</v>
      </c>
      <c r="G38" s="520" t="s">
        <v>299</v>
      </c>
      <c r="H38" s="520" t="s">
        <v>299</v>
      </c>
      <c r="I38" s="303" t="s">
        <v>299</v>
      </c>
      <c r="J38" s="303" t="s">
        <v>299</v>
      </c>
      <c r="K38" s="303" t="s">
        <v>299</v>
      </c>
      <c r="L38" s="303" t="s">
        <v>299</v>
      </c>
      <c r="M38" s="291" t="s">
        <v>299</v>
      </c>
      <c r="N38" s="291" t="s">
        <v>299</v>
      </c>
      <c r="O38" s="295" t="s">
        <v>299</v>
      </c>
    </row>
    <row r="39" spans="1:15">
      <c r="A39" s="302" t="s">
        <v>299</v>
      </c>
      <c r="B39" s="303" t="s">
        <v>299</v>
      </c>
      <c r="C39" s="303" t="s">
        <v>299</v>
      </c>
      <c r="D39" s="303" t="s">
        <v>299</v>
      </c>
      <c r="E39" s="303" t="s">
        <v>299</v>
      </c>
      <c r="F39" s="520">
        <v>0</v>
      </c>
      <c r="G39" s="520" t="s">
        <v>299</v>
      </c>
      <c r="H39" s="520" t="s">
        <v>299</v>
      </c>
      <c r="I39" s="303" t="s">
        <v>299</v>
      </c>
      <c r="J39" s="303" t="s">
        <v>299</v>
      </c>
      <c r="K39" s="303" t="s">
        <v>299</v>
      </c>
      <c r="L39" s="303" t="s">
        <v>299</v>
      </c>
      <c r="M39" s="291" t="s">
        <v>299</v>
      </c>
      <c r="N39" s="291" t="s">
        <v>299</v>
      </c>
      <c r="O39" s="295" t="s">
        <v>299</v>
      </c>
    </row>
    <row r="40" spans="1:15">
      <c r="A40" s="302" t="s">
        <v>299</v>
      </c>
      <c r="B40" s="303" t="s">
        <v>299</v>
      </c>
      <c r="C40" s="303" t="s">
        <v>299</v>
      </c>
      <c r="D40" s="303" t="s">
        <v>299</v>
      </c>
      <c r="E40" s="303" t="s">
        <v>299</v>
      </c>
      <c r="F40" s="520">
        <v>0</v>
      </c>
      <c r="G40" s="520" t="s">
        <v>299</v>
      </c>
      <c r="H40" s="520" t="s">
        <v>299</v>
      </c>
      <c r="I40" s="303" t="s">
        <v>299</v>
      </c>
      <c r="J40" s="303" t="s">
        <v>299</v>
      </c>
      <c r="K40" s="303" t="s">
        <v>299</v>
      </c>
      <c r="L40" s="303" t="s">
        <v>299</v>
      </c>
      <c r="M40" s="291" t="s">
        <v>299</v>
      </c>
      <c r="N40" s="291" t="s">
        <v>299</v>
      </c>
      <c r="O40" s="295" t="s">
        <v>299</v>
      </c>
    </row>
    <row r="41" spans="1:15">
      <c r="A41" s="542" t="s">
        <v>299</v>
      </c>
      <c r="B41" s="541" t="s">
        <v>299</v>
      </c>
      <c r="C41" s="541" t="s">
        <v>299</v>
      </c>
      <c r="D41" s="541" t="s">
        <v>299</v>
      </c>
      <c r="E41" s="541" t="s">
        <v>299</v>
      </c>
      <c r="F41" s="520">
        <v>0</v>
      </c>
      <c r="G41" s="520" t="s">
        <v>299</v>
      </c>
      <c r="H41" s="520" t="s">
        <v>299</v>
      </c>
      <c r="I41" s="541" t="s">
        <v>299</v>
      </c>
      <c r="J41" s="541" t="s">
        <v>299</v>
      </c>
      <c r="K41" s="541" t="s">
        <v>299</v>
      </c>
      <c r="L41" s="541" t="s">
        <v>299</v>
      </c>
      <c r="M41" s="291" t="s">
        <v>299</v>
      </c>
      <c r="N41" s="291" t="s">
        <v>299</v>
      </c>
      <c r="O41" s="292" t="s">
        <v>299</v>
      </c>
    </row>
    <row r="42" spans="1:15">
      <c r="A42" s="542" t="s">
        <v>299</v>
      </c>
      <c r="B42" s="541" t="s">
        <v>299</v>
      </c>
      <c r="C42" s="541" t="s">
        <v>299</v>
      </c>
      <c r="D42" s="541" t="s">
        <v>299</v>
      </c>
      <c r="E42" s="541" t="s">
        <v>299</v>
      </c>
      <c r="F42" s="520">
        <v>0</v>
      </c>
      <c r="G42" s="520" t="s">
        <v>299</v>
      </c>
      <c r="H42" s="520" t="s">
        <v>299</v>
      </c>
      <c r="I42" s="541" t="s">
        <v>299</v>
      </c>
      <c r="J42" s="541" t="s">
        <v>299</v>
      </c>
      <c r="K42" s="541" t="s">
        <v>299</v>
      </c>
      <c r="L42" s="541" t="s">
        <v>299</v>
      </c>
      <c r="M42" s="291" t="s">
        <v>299</v>
      </c>
      <c r="N42" s="291" t="s">
        <v>299</v>
      </c>
      <c r="O42" s="292" t="s">
        <v>299</v>
      </c>
    </row>
    <row r="43" spans="1:15">
      <c r="A43" s="542" t="s">
        <v>299</v>
      </c>
      <c r="B43" s="541" t="s">
        <v>299</v>
      </c>
      <c r="C43" s="541" t="s">
        <v>299</v>
      </c>
      <c r="D43" s="541" t="s">
        <v>299</v>
      </c>
      <c r="E43" s="541" t="s">
        <v>299</v>
      </c>
      <c r="F43" s="520">
        <v>0</v>
      </c>
      <c r="G43" s="520" t="s">
        <v>299</v>
      </c>
      <c r="H43" s="520" t="s">
        <v>299</v>
      </c>
      <c r="I43" s="541" t="s">
        <v>299</v>
      </c>
      <c r="J43" s="541" t="s">
        <v>299</v>
      </c>
      <c r="K43" s="541" t="s">
        <v>299</v>
      </c>
      <c r="L43" s="541" t="s">
        <v>299</v>
      </c>
      <c r="M43" s="291" t="s">
        <v>299</v>
      </c>
      <c r="N43" s="291" t="s">
        <v>299</v>
      </c>
      <c r="O43" s="292" t="s">
        <v>299</v>
      </c>
    </row>
    <row r="44" spans="1:15">
      <c r="A44" s="542" t="s">
        <v>299</v>
      </c>
      <c r="B44" s="541" t="s">
        <v>299</v>
      </c>
      <c r="C44" s="541" t="s">
        <v>299</v>
      </c>
      <c r="D44" s="541" t="s">
        <v>299</v>
      </c>
      <c r="E44" s="541" t="s">
        <v>299</v>
      </c>
      <c r="F44" s="520">
        <v>0</v>
      </c>
      <c r="G44" s="520" t="s">
        <v>299</v>
      </c>
      <c r="H44" s="520" t="s">
        <v>299</v>
      </c>
      <c r="I44" s="541" t="s">
        <v>299</v>
      </c>
      <c r="J44" s="541" t="s">
        <v>299</v>
      </c>
      <c r="K44" s="541" t="s">
        <v>299</v>
      </c>
      <c r="L44" s="541" t="s">
        <v>299</v>
      </c>
      <c r="M44" s="291" t="s">
        <v>299</v>
      </c>
      <c r="N44" s="291" t="s">
        <v>299</v>
      </c>
      <c r="O44" s="292" t="s">
        <v>299</v>
      </c>
    </row>
    <row r="45" spans="1:15">
      <c r="A45" s="542" t="s">
        <v>299</v>
      </c>
      <c r="B45" s="541" t="s">
        <v>299</v>
      </c>
      <c r="C45" s="541" t="s">
        <v>299</v>
      </c>
      <c r="D45" s="541" t="s">
        <v>299</v>
      </c>
      <c r="E45" s="541" t="s">
        <v>299</v>
      </c>
      <c r="F45" s="520">
        <v>0</v>
      </c>
      <c r="G45" s="520" t="s">
        <v>299</v>
      </c>
      <c r="H45" s="520" t="s">
        <v>299</v>
      </c>
      <c r="I45" s="541" t="s">
        <v>299</v>
      </c>
      <c r="J45" s="541" t="s">
        <v>299</v>
      </c>
      <c r="K45" s="541" t="s">
        <v>299</v>
      </c>
      <c r="L45" s="541" t="s">
        <v>299</v>
      </c>
      <c r="M45" s="291" t="s">
        <v>299</v>
      </c>
      <c r="N45" s="291" t="s">
        <v>299</v>
      </c>
      <c r="O45" s="292" t="s">
        <v>299</v>
      </c>
    </row>
    <row r="46" spans="1:15">
      <c r="A46" s="542" t="s">
        <v>299</v>
      </c>
      <c r="B46" s="541" t="s">
        <v>299</v>
      </c>
      <c r="C46" s="541" t="s">
        <v>299</v>
      </c>
      <c r="D46" s="541" t="s">
        <v>299</v>
      </c>
      <c r="E46" s="541" t="s">
        <v>299</v>
      </c>
      <c r="F46" s="520">
        <v>0</v>
      </c>
      <c r="G46" s="520" t="s">
        <v>299</v>
      </c>
      <c r="H46" s="520" t="s">
        <v>299</v>
      </c>
      <c r="I46" s="541" t="s">
        <v>299</v>
      </c>
      <c r="J46" s="541" t="s">
        <v>299</v>
      </c>
      <c r="K46" s="541" t="s">
        <v>299</v>
      </c>
      <c r="L46" s="541" t="s">
        <v>299</v>
      </c>
      <c r="M46" s="291" t="s">
        <v>299</v>
      </c>
      <c r="N46" s="291" t="s">
        <v>299</v>
      </c>
      <c r="O46" s="292" t="s">
        <v>299</v>
      </c>
    </row>
    <row r="47" spans="1:15">
      <c r="A47" s="542" t="s">
        <v>299</v>
      </c>
      <c r="B47" s="541" t="s">
        <v>299</v>
      </c>
      <c r="C47" s="541" t="s">
        <v>299</v>
      </c>
      <c r="D47" s="541" t="s">
        <v>299</v>
      </c>
      <c r="E47" s="541" t="s">
        <v>299</v>
      </c>
      <c r="F47" s="541" t="s">
        <v>299</v>
      </c>
      <c r="G47" s="520" t="s">
        <v>299</v>
      </c>
      <c r="H47" s="520" t="s">
        <v>299</v>
      </c>
      <c r="I47" s="541" t="s">
        <v>299</v>
      </c>
      <c r="J47" s="541" t="s">
        <v>299</v>
      </c>
      <c r="K47" s="303" t="s">
        <v>299</v>
      </c>
      <c r="L47" s="541" t="s">
        <v>299</v>
      </c>
      <c r="M47" s="291" t="s">
        <v>299</v>
      </c>
      <c r="N47" s="291" t="s">
        <v>299</v>
      </c>
      <c r="O47" s="292" t="s">
        <v>299</v>
      </c>
    </row>
    <row r="48" spans="1:15">
      <c r="A48" s="282"/>
      <c r="B48" s="282"/>
      <c r="C48" s="282"/>
      <c r="D48" s="282"/>
      <c r="E48" s="282"/>
      <c r="F48" s="282"/>
      <c r="G48" s="282"/>
      <c r="H48" s="282"/>
      <c r="I48" s="282"/>
      <c r="J48" s="282"/>
      <c r="K48" s="282"/>
      <c r="L48" s="282"/>
      <c r="M48" s="282"/>
      <c r="N48" s="282"/>
    </row>
  </sheetData>
  <mergeCells count="10">
    <mergeCell ref="A5:C5"/>
    <mergeCell ref="D5:N5"/>
    <mergeCell ref="A6:N6"/>
    <mergeCell ref="A1:N1"/>
    <mergeCell ref="A2:C2"/>
    <mergeCell ref="D2:N2"/>
    <mergeCell ref="A3:C3"/>
    <mergeCell ref="D3:N3"/>
    <mergeCell ref="A4:C4"/>
    <mergeCell ref="D4:N4"/>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BA1330-0854-46A6-9010-25E70CE8EEC1}">
  <dimension ref="A1:G17"/>
  <sheetViews>
    <sheetView workbookViewId="0">
      <selection activeCell="A12" sqref="A12:G12"/>
    </sheetView>
  </sheetViews>
  <sheetFormatPr defaultRowHeight="15"/>
  <cols>
    <col min="1" max="1" width="45.28515625" customWidth="1"/>
    <col min="2" max="2" width="10.7109375" bestFit="1" customWidth="1"/>
    <col min="3" max="3" width="17.85546875" customWidth="1"/>
    <col min="4" max="4" width="10.85546875" customWidth="1"/>
    <col min="5" max="5" width="20.5703125" customWidth="1"/>
    <col min="6" max="6" width="22.28515625" customWidth="1"/>
    <col min="7" max="7" width="22.42578125" customWidth="1"/>
  </cols>
  <sheetData>
    <row r="1" spans="1:7" ht="15.75">
      <c r="A1" s="876" t="s">
        <v>583</v>
      </c>
      <c r="B1" s="877"/>
      <c r="C1" s="281"/>
      <c r="D1" s="282"/>
      <c r="E1" s="282"/>
      <c r="F1" s="282"/>
      <c r="G1" s="282"/>
    </row>
    <row r="2" spans="1:7" ht="15.75">
      <c r="A2" s="285" t="s">
        <v>316</v>
      </c>
      <c r="B2" s="945" t="s">
        <v>584</v>
      </c>
      <c r="C2" s="281"/>
      <c r="D2" s="282"/>
      <c r="E2" s="282"/>
      <c r="F2" s="282"/>
      <c r="G2" s="282"/>
    </row>
    <row r="3" spans="1:7" ht="15.75">
      <c r="A3" s="284" t="s">
        <v>585</v>
      </c>
      <c r="B3" s="946"/>
      <c r="C3" s="281"/>
      <c r="D3" s="282"/>
      <c r="E3" s="282"/>
      <c r="F3" s="282"/>
      <c r="G3" s="282"/>
    </row>
    <row r="4" spans="1:7" ht="15.75">
      <c r="A4" s="286" t="s">
        <v>335</v>
      </c>
      <c r="B4" s="283" t="s">
        <v>336</v>
      </c>
      <c r="C4" s="281"/>
      <c r="D4" s="282"/>
      <c r="E4" s="282"/>
      <c r="F4" s="282"/>
      <c r="G4" s="282"/>
    </row>
    <row r="5" spans="1:7" ht="15.75">
      <c r="A5" s="286" t="s">
        <v>341</v>
      </c>
      <c r="B5" s="283" t="s">
        <v>342</v>
      </c>
      <c r="C5" s="281"/>
      <c r="D5" s="282"/>
      <c r="E5" s="282"/>
      <c r="F5" s="282"/>
      <c r="G5" s="282"/>
    </row>
    <row r="6" spans="1:7" ht="15.75">
      <c r="A6" s="286" t="s">
        <v>343</v>
      </c>
      <c r="B6" s="283" t="s">
        <v>342</v>
      </c>
      <c r="C6" s="281"/>
      <c r="D6" s="282"/>
      <c r="E6" s="282"/>
      <c r="F6" s="282"/>
      <c r="G6" s="282"/>
    </row>
    <row r="7" spans="1:7" ht="15.75">
      <c r="A7" s="286" t="s">
        <v>344</v>
      </c>
      <c r="B7" s="283" t="s">
        <v>345</v>
      </c>
      <c r="C7" s="281"/>
      <c r="D7" s="282"/>
      <c r="E7" s="282"/>
      <c r="F7" s="282"/>
      <c r="G7" s="282"/>
    </row>
    <row r="8" spans="1:7" ht="15.75">
      <c r="A8" s="286" t="s">
        <v>346</v>
      </c>
      <c r="B8" s="283" t="s">
        <v>347</v>
      </c>
      <c r="C8" s="281"/>
      <c r="D8" s="282"/>
      <c r="E8" s="282"/>
      <c r="F8" s="282"/>
      <c r="G8" s="282"/>
    </row>
    <row r="9" spans="1:7" ht="15.75">
      <c r="A9" s="286" t="s">
        <v>348</v>
      </c>
      <c r="B9" s="283" t="s">
        <v>347</v>
      </c>
      <c r="C9" s="281"/>
      <c r="D9" s="282"/>
      <c r="E9" s="282"/>
      <c r="F9" s="282"/>
      <c r="G9" s="282"/>
    </row>
    <row r="10" spans="1:7" ht="23.25">
      <c r="A10" s="286" t="s">
        <v>349</v>
      </c>
      <c r="B10" s="283" t="s">
        <v>336</v>
      </c>
      <c r="C10" s="281"/>
      <c r="D10" s="282"/>
      <c r="E10" s="282"/>
      <c r="F10" s="282"/>
      <c r="G10" s="282"/>
    </row>
    <row r="11" spans="1:7">
      <c r="A11" s="287"/>
      <c r="B11" s="282"/>
      <c r="C11" s="282"/>
      <c r="D11" s="282"/>
      <c r="E11" s="282"/>
      <c r="F11" s="282"/>
      <c r="G11" s="282"/>
    </row>
    <row r="12" spans="1:7">
      <c r="A12" s="878" t="s">
        <v>586</v>
      </c>
      <c r="B12" s="879"/>
      <c r="C12" s="879"/>
      <c r="D12" s="879"/>
      <c r="E12" s="879"/>
      <c r="F12" s="879"/>
      <c r="G12" s="880"/>
    </row>
    <row r="13" spans="1:7" ht="51" customHeight="1">
      <c r="A13" s="545" t="s">
        <v>274</v>
      </c>
      <c r="B13" s="546" t="s">
        <v>587</v>
      </c>
      <c r="C13" s="546" t="s">
        <v>588</v>
      </c>
      <c r="D13" s="546" t="s">
        <v>589</v>
      </c>
      <c r="E13" s="546" t="s">
        <v>590</v>
      </c>
      <c r="F13" s="546" t="s">
        <v>591</v>
      </c>
      <c r="G13" s="546" t="s">
        <v>592</v>
      </c>
    </row>
    <row r="14" spans="1:7">
      <c r="A14" s="286" t="s">
        <v>350</v>
      </c>
      <c r="B14" s="283" t="s">
        <v>342</v>
      </c>
      <c r="C14" s="283" t="s">
        <v>593</v>
      </c>
      <c r="D14" s="283" t="s">
        <v>593</v>
      </c>
      <c r="E14" s="283" t="s">
        <v>594</v>
      </c>
      <c r="F14" s="283" t="s">
        <v>595</v>
      </c>
      <c r="G14" s="283" t="s">
        <v>596</v>
      </c>
    </row>
    <row r="15" spans="1:7">
      <c r="A15" s="286" t="s">
        <v>351</v>
      </c>
      <c r="B15" s="283" t="s">
        <v>347</v>
      </c>
      <c r="C15" s="283" t="s">
        <v>597</v>
      </c>
      <c r="D15" s="283" t="s">
        <v>597</v>
      </c>
      <c r="E15" s="283" t="s">
        <v>598</v>
      </c>
      <c r="F15" s="283" t="s">
        <v>599</v>
      </c>
      <c r="G15" s="283" t="s">
        <v>600</v>
      </c>
    </row>
    <row r="16" spans="1:7">
      <c r="A16" s="286" t="s">
        <v>352</v>
      </c>
      <c r="B16" s="283" t="s">
        <v>595</v>
      </c>
      <c r="C16" s="283" t="s">
        <v>345</v>
      </c>
      <c r="D16" s="283" t="s">
        <v>345</v>
      </c>
      <c r="E16" s="283" t="s">
        <v>601</v>
      </c>
      <c r="F16" s="283" t="s">
        <v>602</v>
      </c>
      <c r="G16" s="283" t="s">
        <v>603</v>
      </c>
    </row>
    <row r="17" spans="1:7">
      <c r="A17" s="286" t="s">
        <v>353</v>
      </c>
      <c r="B17" s="283" t="s">
        <v>594</v>
      </c>
      <c r="C17" s="283" t="s">
        <v>600</v>
      </c>
      <c r="D17" s="283" t="s">
        <v>600</v>
      </c>
      <c r="E17" s="283" t="s">
        <v>604</v>
      </c>
      <c r="F17" s="283" t="s">
        <v>605</v>
      </c>
      <c r="G17" s="283" t="s">
        <v>606</v>
      </c>
    </row>
  </sheetData>
  <mergeCells count="3">
    <mergeCell ref="A1:B1"/>
    <mergeCell ref="A12:G12"/>
    <mergeCell ref="B2:B3"/>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36ABBA-72F5-4EB9-9BBC-7CAC43D407C3}">
  <dimension ref="A1:N78"/>
  <sheetViews>
    <sheetView topLeftCell="B1" workbookViewId="0">
      <selection activeCell="O35" sqref="O35"/>
    </sheetView>
  </sheetViews>
  <sheetFormatPr defaultRowHeight="15"/>
  <cols>
    <col min="3" max="3" width="11" bestFit="1" customWidth="1"/>
    <col min="4" max="4" width="11.5703125" bestFit="1" customWidth="1"/>
    <col min="9" max="9" width="10" bestFit="1" customWidth="1"/>
    <col min="10" max="10" width="9.28515625" bestFit="1" customWidth="1"/>
    <col min="11" max="11" width="9.5703125" bestFit="1" customWidth="1"/>
  </cols>
  <sheetData>
    <row r="1" spans="1:14">
      <c r="A1" s="282"/>
      <c r="B1" s="306" t="s">
        <v>299</v>
      </c>
      <c r="C1" s="947" t="s">
        <v>299</v>
      </c>
      <c r="D1" s="947"/>
      <c r="E1" s="947"/>
      <c r="F1" s="947"/>
      <c r="G1" s="947"/>
      <c r="H1" s="947"/>
      <c r="I1" s="947"/>
      <c r="J1" s="947"/>
      <c r="K1" s="947"/>
      <c r="L1" s="947"/>
      <c r="M1" s="947"/>
      <c r="N1" s="292" t="s">
        <v>299</v>
      </c>
    </row>
    <row r="2" spans="1:14">
      <c r="A2" s="282"/>
      <c r="B2" s="307" t="s">
        <v>299</v>
      </c>
      <c r="C2" s="948" t="s">
        <v>607</v>
      </c>
      <c r="D2" s="948"/>
      <c r="E2" s="948"/>
      <c r="F2" s="948"/>
      <c r="G2" s="948"/>
      <c r="H2" s="948"/>
      <c r="I2" s="948"/>
      <c r="J2" s="948"/>
      <c r="K2" s="948"/>
      <c r="L2" s="948"/>
      <c r="M2" s="949"/>
      <c r="N2" s="292" t="s">
        <v>299</v>
      </c>
    </row>
    <row r="3" spans="1:14">
      <c r="A3" s="282"/>
      <c r="B3" s="308" t="s">
        <v>299</v>
      </c>
      <c r="C3" s="950">
        <v>6200017455</v>
      </c>
      <c r="D3" s="950"/>
      <c r="E3" s="950"/>
      <c r="F3" s="950"/>
      <c r="G3" s="950"/>
      <c r="H3" s="950"/>
      <c r="I3" s="950"/>
      <c r="J3" s="950"/>
      <c r="K3" s="950"/>
      <c r="L3" s="950"/>
      <c r="M3" s="951"/>
      <c r="N3" s="292" t="s">
        <v>299</v>
      </c>
    </row>
    <row r="4" spans="1:14">
      <c r="A4" s="282"/>
      <c r="B4" s="308" t="s">
        <v>299</v>
      </c>
      <c r="C4" s="952" t="s">
        <v>608</v>
      </c>
      <c r="D4" s="952"/>
      <c r="E4" s="952"/>
      <c r="F4" s="952"/>
      <c r="G4" s="952"/>
      <c r="H4" s="952"/>
      <c r="I4" s="952"/>
      <c r="J4" s="952"/>
      <c r="K4" s="952"/>
      <c r="L4" s="952"/>
      <c r="M4" s="953"/>
      <c r="N4" s="292" t="s">
        <v>299</v>
      </c>
    </row>
    <row r="5" spans="1:14">
      <c r="A5" s="282"/>
      <c r="B5" s="308" t="s">
        <v>299</v>
      </c>
      <c r="C5" s="954" t="s">
        <v>609</v>
      </c>
      <c r="D5" s="954"/>
      <c r="E5" s="954"/>
      <c r="F5" s="954"/>
      <c r="G5" s="954"/>
      <c r="H5" s="954"/>
      <c r="I5" s="954"/>
      <c r="J5" s="954"/>
      <c r="K5" s="954"/>
      <c r="L5" s="954"/>
      <c r="M5" s="955"/>
      <c r="N5" s="292" t="s">
        <v>299</v>
      </c>
    </row>
    <row r="6" spans="1:14">
      <c r="A6" s="282"/>
      <c r="B6" s="308" t="s">
        <v>299</v>
      </c>
      <c r="C6" s="954" t="s">
        <v>299</v>
      </c>
      <c r="D6" s="954"/>
      <c r="E6" s="954"/>
      <c r="F6" s="954"/>
      <c r="G6" s="954"/>
      <c r="H6" s="954"/>
      <c r="I6" s="954"/>
      <c r="J6" s="954"/>
      <c r="K6" s="954"/>
      <c r="L6" s="954"/>
      <c r="M6" s="955"/>
      <c r="N6" s="292" t="s">
        <v>299</v>
      </c>
    </row>
    <row r="7" spans="1:14">
      <c r="A7" s="282"/>
      <c r="B7" s="308" t="s">
        <v>299</v>
      </c>
      <c r="C7" s="881" t="s">
        <v>610</v>
      </c>
      <c r="D7" s="881"/>
      <c r="E7" s="881"/>
      <c r="F7" s="881"/>
      <c r="G7" s="881"/>
      <c r="H7" s="881"/>
      <c r="I7" s="881"/>
      <c r="J7" s="881"/>
      <c r="K7" s="881"/>
      <c r="L7" s="881"/>
      <c r="M7" s="882"/>
      <c r="N7" s="292" t="s">
        <v>299</v>
      </c>
    </row>
    <row r="8" spans="1:14">
      <c r="A8" s="282"/>
      <c r="B8" s="308" t="s">
        <v>299</v>
      </c>
      <c r="C8" s="881"/>
      <c r="D8" s="881"/>
      <c r="E8" s="881"/>
      <c r="F8" s="881"/>
      <c r="G8" s="881"/>
      <c r="H8" s="881"/>
      <c r="I8" s="881"/>
      <c r="J8" s="881"/>
      <c r="K8" s="881"/>
      <c r="L8" s="881"/>
      <c r="M8" s="882"/>
      <c r="N8" s="292" t="s">
        <v>299</v>
      </c>
    </row>
    <row r="9" spans="1:14">
      <c r="A9" s="282"/>
      <c r="B9" s="308" t="s">
        <v>299</v>
      </c>
      <c r="C9" s="292" t="s">
        <v>299</v>
      </c>
      <c r="D9" s="292" t="s">
        <v>299</v>
      </c>
      <c r="E9" s="292" t="s">
        <v>299</v>
      </c>
      <c r="F9" s="292" t="s">
        <v>299</v>
      </c>
      <c r="G9" s="292" t="s">
        <v>299</v>
      </c>
      <c r="H9" s="292" t="s">
        <v>299</v>
      </c>
      <c r="I9" s="292" t="s">
        <v>299</v>
      </c>
      <c r="J9" s="292" t="s">
        <v>299</v>
      </c>
      <c r="K9" s="292" t="s">
        <v>299</v>
      </c>
      <c r="L9" s="292" t="s">
        <v>299</v>
      </c>
      <c r="M9" s="310" t="s">
        <v>299</v>
      </c>
      <c r="N9" s="292" t="s">
        <v>299</v>
      </c>
    </row>
    <row r="10" spans="1:14">
      <c r="A10" s="282"/>
      <c r="B10" s="308" t="s">
        <v>299</v>
      </c>
      <c r="C10" s="956" t="s">
        <v>611</v>
      </c>
      <c r="D10" s="957"/>
      <c r="E10" s="957"/>
      <c r="F10" s="957"/>
      <c r="G10" s="958"/>
      <c r="H10" s="292" t="s">
        <v>299</v>
      </c>
      <c r="I10" s="956" t="s">
        <v>612</v>
      </c>
      <c r="J10" s="957"/>
      <c r="K10" s="957"/>
      <c r="L10" s="957"/>
      <c r="M10" s="959"/>
      <c r="N10" s="292" t="s">
        <v>299</v>
      </c>
    </row>
    <row r="11" spans="1:14">
      <c r="A11" s="282"/>
      <c r="B11" s="308" t="s">
        <v>299</v>
      </c>
      <c r="C11" s="960" t="s">
        <v>613</v>
      </c>
      <c r="D11" s="961"/>
      <c r="E11" s="962"/>
      <c r="F11" s="311" t="s">
        <v>614</v>
      </c>
      <c r="G11" s="312" t="s">
        <v>299</v>
      </c>
      <c r="H11" s="292" t="s">
        <v>299</v>
      </c>
      <c r="I11" s="963" t="s">
        <v>615</v>
      </c>
      <c r="J11" s="954"/>
      <c r="K11" s="964"/>
      <c r="L11" s="313" t="s">
        <v>616</v>
      </c>
      <c r="M11" s="314" t="s">
        <v>299</v>
      </c>
      <c r="N11" s="292" t="s">
        <v>299</v>
      </c>
    </row>
    <row r="12" spans="1:14">
      <c r="A12" s="282"/>
      <c r="B12" s="308" t="s">
        <v>299</v>
      </c>
      <c r="C12" s="960" t="s">
        <v>617</v>
      </c>
      <c r="D12" s="961"/>
      <c r="E12" s="962"/>
      <c r="F12" s="311" t="s">
        <v>614</v>
      </c>
      <c r="G12" s="312" t="s">
        <v>299</v>
      </c>
      <c r="H12" s="292" t="s">
        <v>299</v>
      </c>
      <c r="I12" s="965" t="s">
        <v>618</v>
      </c>
      <c r="J12" s="950"/>
      <c r="K12" s="966"/>
      <c r="L12" s="313" t="s">
        <v>616</v>
      </c>
      <c r="M12" s="314" t="s">
        <v>299</v>
      </c>
      <c r="N12" s="292" t="s">
        <v>299</v>
      </c>
    </row>
    <row r="13" spans="1:14">
      <c r="A13" s="282"/>
      <c r="B13" s="308" t="s">
        <v>299</v>
      </c>
      <c r="C13" s="960" t="s">
        <v>619</v>
      </c>
      <c r="D13" s="961"/>
      <c r="E13" s="962"/>
      <c r="F13" s="311" t="s">
        <v>614</v>
      </c>
      <c r="G13" s="312" t="s">
        <v>299</v>
      </c>
      <c r="H13" s="292" t="s">
        <v>299</v>
      </c>
      <c r="I13" s="965" t="s">
        <v>620</v>
      </c>
      <c r="J13" s="950"/>
      <c r="K13" s="966"/>
      <c r="L13" s="313" t="s">
        <v>616</v>
      </c>
      <c r="M13" s="314" t="s">
        <v>299</v>
      </c>
      <c r="N13" s="292" t="s">
        <v>299</v>
      </c>
    </row>
    <row r="14" spans="1:14">
      <c r="A14" s="282"/>
      <c r="B14" s="308" t="s">
        <v>299</v>
      </c>
      <c r="C14" s="967" t="s">
        <v>621</v>
      </c>
      <c r="D14" s="968"/>
      <c r="E14" s="969"/>
      <c r="F14" s="315" t="s">
        <v>614</v>
      </c>
      <c r="G14" s="316" t="s">
        <v>299</v>
      </c>
      <c r="H14" s="292" t="s">
        <v>299</v>
      </c>
      <c r="I14" s="970" t="s">
        <v>622</v>
      </c>
      <c r="J14" s="971"/>
      <c r="K14" s="972"/>
      <c r="L14" s="317" t="s">
        <v>616</v>
      </c>
      <c r="M14" s="318" t="s">
        <v>299</v>
      </c>
      <c r="N14" s="292" t="s">
        <v>299</v>
      </c>
    </row>
    <row r="15" spans="1:14">
      <c r="A15" s="282"/>
      <c r="B15" s="308" t="s">
        <v>299</v>
      </c>
      <c r="C15" s="292" t="s">
        <v>299</v>
      </c>
      <c r="D15" s="292" t="s">
        <v>299</v>
      </c>
      <c r="E15" s="292" t="s">
        <v>299</v>
      </c>
      <c r="F15" s="292" t="s">
        <v>299</v>
      </c>
      <c r="G15" s="292" t="s">
        <v>299</v>
      </c>
      <c r="H15" s="292" t="s">
        <v>299</v>
      </c>
      <c r="I15" s="292" t="s">
        <v>299</v>
      </c>
      <c r="J15" s="292" t="s">
        <v>299</v>
      </c>
      <c r="K15" s="292" t="s">
        <v>299</v>
      </c>
      <c r="L15" s="292" t="s">
        <v>299</v>
      </c>
      <c r="M15" s="310" t="s">
        <v>299</v>
      </c>
      <c r="N15" s="292" t="s">
        <v>299</v>
      </c>
    </row>
    <row r="16" spans="1:14">
      <c r="A16" s="282"/>
      <c r="B16" s="308" t="s">
        <v>299</v>
      </c>
      <c r="C16" s="309" t="s">
        <v>623</v>
      </c>
      <c r="D16" s="319" t="s">
        <v>47</v>
      </c>
      <c r="E16" s="292" t="s">
        <v>299</v>
      </c>
      <c r="F16" s="292" t="s">
        <v>299</v>
      </c>
      <c r="G16" s="292" t="s">
        <v>299</v>
      </c>
      <c r="H16" s="292" t="s">
        <v>299</v>
      </c>
      <c r="I16" s="292" t="s">
        <v>299</v>
      </c>
      <c r="J16" s="292" t="s">
        <v>299</v>
      </c>
      <c r="K16" s="292" t="s">
        <v>299</v>
      </c>
      <c r="L16" s="292" t="s">
        <v>299</v>
      </c>
      <c r="M16" s="310" t="s">
        <v>299</v>
      </c>
      <c r="N16" s="292" t="s">
        <v>299</v>
      </c>
    </row>
    <row r="17" spans="1:14">
      <c r="A17" s="282"/>
      <c r="B17" s="308" t="s">
        <v>299</v>
      </c>
      <c r="C17" s="309" t="s">
        <v>299</v>
      </c>
      <c r="D17" s="319" t="s">
        <v>299</v>
      </c>
      <c r="E17" s="292" t="s">
        <v>299</v>
      </c>
      <c r="F17" s="292" t="s">
        <v>299</v>
      </c>
      <c r="G17" s="292" t="s">
        <v>299</v>
      </c>
      <c r="H17" s="292" t="s">
        <v>299</v>
      </c>
      <c r="I17" s="292" t="s">
        <v>299</v>
      </c>
      <c r="J17" s="292" t="s">
        <v>299</v>
      </c>
      <c r="K17" s="292" t="s">
        <v>299</v>
      </c>
      <c r="L17" s="292" t="s">
        <v>299</v>
      </c>
      <c r="M17" s="310" t="s">
        <v>299</v>
      </c>
      <c r="N17" s="292" t="s">
        <v>299</v>
      </c>
    </row>
    <row r="18" spans="1:14">
      <c r="A18" s="282"/>
      <c r="B18" s="308" t="s">
        <v>299</v>
      </c>
      <c r="C18" s="885" t="s">
        <v>624</v>
      </c>
      <c r="D18" s="886"/>
      <c r="E18" s="886"/>
      <c r="F18" s="886"/>
      <c r="G18" s="886"/>
      <c r="H18" s="886"/>
      <c r="I18" s="886"/>
      <c r="J18" s="886"/>
      <c r="K18" s="886"/>
      <c r="L18" s="887"/>
      <c r="M18" s="310" t="s">
        <v>299</v>
      </c>
      <c r="N18" s="292" t="s">
        <v>299</v>
      </c>
    </row>
    <row r="19" spans="1:14">
      <c r="A19" s="282"/>
      <c r="B19" s="308" t="s">
        <v>299</v>
      </c>
      <c r="C19" s="321" t="s">
        <v>625</v>
      </c>
      <c r="D19" s="322" t="s">
        <v>626</v>
      </c>
      <c r="E19" s="322" t="s">
        <v>627</v>
      </c>
      <c r="F19" s="322" t="s">
        <v>628</v>
      </c>
      <c r="G19" s="322" t="s">
        <v>629</v>
      </c>
      <c r="H19" s="322" t="s">
        <v>630</v>
      </c>
      <c r="I19" s="322" t="s">
        <v>631</v>
      </c>
      <c r="J19" s="322" t="s">
        <v>632</v>
      </c>
      <c r="K19" s="322" t="s">
        <v>633</v>
      </c>
      <c r="L19" s="322" t="s">
        <v>634</v>
      </c>
      <c r="M19" s="310" t="s">
        <v>299</v>
      </c>
      <c r="N19" s="292" t="s">
        <v>299</v>
      </c>
    </row>
    <row r="20" spans="1:14">
      <c r="A20" s="282"/>
      <c r="B20" s="308" t="s">
        <v>299</v>
      </c>
      <c r="C20" s="323" t="s">
        <v>635</v>
      </c>
      <c r="D20" s="324" t="s">
        <v>635</v>
      </c>
      <c r="E20" s="325" t="s">
        <v>616</v>
      </c>
      <c r="F20" s="324" t="s">
        <v>635</v>
      </c>
      <c r="G20" s="324" t="s">
        <v>635</v>
      </c>
      <c r="H20" s="324" t="s">
        <v>635</v>
      </c>
      <c r="I20" s="325" t="s">
        <v>616</v>
      </c>
      <c r="J20" s="324" t="s">
        <v>635</v>
      </c>
      <c r="K20" s="324" t="s">
        <v>635</v>
      </c>
      <c r="L20" s="325" t="s">
        <v>616</v>
      </c>
      <c r="M20" s="310" t="s">
        <v>299</v>
      </c>
      <c r="N20" s="292" t="s">
        <v>299</v>
      </c>
    </row>
    <row r="21" spans="1:14">
      <c r="A21" s="282"/>
      <c r="B21" s="308" t="s">
        <v>299</v>
      </c>
      <c r="C21" s="292" t="s">
        <v>299</v>
      </c>
      <c r="D21" s="292" t="s">
        <v>299</v>
      </c>
      <c r="E21" s="292" t="s">
        <v>299</v>
      </c>
      <c r="F21" s="292" t="s">
        <v>299</v>
      </c>
      <c r="G21" s="292" t="s">
        <v>299</v>
      </c>
      <c r="H21" s="292" t="s">
        <v>299</v>
      </c>
      <c r="I21" s="292" t="s">
        <v>299</v>
      </c>
      <c r="J21" s="292" t="s">
        <v>299</v>
      </c>
      <c r="K21" s="292" t="s">
        <v>299</v>
      </c>
      <c r="L21" s="292" t="s">
        <v>299</v>
      </c>
      <c r="M21" s="310" t="s">
        <v>299</v>
      </c>
      <c r="N21" s="292" t="s">
        <v>299</v>
      </c>
    </row>
    <row r="22" spans="1:14">
      <c r="A22" s="282"/>
      <c r="B22" s="308" t="s">
        <v>299</v>
      </c>
      <c r="C22" s="888" t="s">
        <v>636</v>
      </c>
      <c r="D22" s="888"/>
      <c r="E22" s="888"/>
      <c r="F22" s="888"/>
      <c r="G22" s="888"/>
      <c r="H22" s="888"/>
      <c r="I22" s="888"/>
      <c r="J22" s="888"/>
      <c r="K22" s="888"/>
      <c r="L22" s="888"/>
      <c r="M22" s="889"/>
      <c r="N22" s="292" t="s">
        <v>299</v>
      </c>
    </row>
    <row r="23" spans="1:14">
      <c r="A23" s="282"/>
      <c r="B23" s="308" t="s">
        <v>299</v>
      </c>
      <c r="C23" s="888"/>
      <c r="D23" s="888"/>
      <c r="E23" s="888"/>
      <c r="F23" s="888"/>
      <c r="G23" s="888"/>
      <c r="H23" s="888"/>
      <c r="I23" s="888"/>
      <c r="J23" s="888"/>
      <c r="K23" s="888"/>
      <c r="L23" s="888"/>
      <c r="M23" s="889"/>
      <c r="N23" s="292" t="s">
        <v>299</v>
      </c>
    </row>
    <row r="24" spans="1:14">
      <c r="A24" s="282"/>
      <c r="B24" s="308" t="s">
        <v>299</v>
      </c>
      <c r="C24" s="292" t="s">
        <v>299</v>
      </c>
      <c r="D24" s="292" t="s">
        <v>299</v>
      </c>
      <c r="E24" s="292" t="s">
        <v>299</v>
      </c>
      <c r="F24" s="292" t="s">
        <v>299</v>
      </c>
      <c r="G24" s="292" t="s">
        <v>299</v>
      </c>
      <c r="H24" s="292" t="s">
        <v>299</v>
      </c>
      <c r="I24" s="292" t="s">
        <v>299</v>
      </c>
      <c r="J24" s="292" t="s">
        <v>299</v>
      </c>
      <c r="K24" s="292" t="s">
        <v>299</v>
      </c>
      <c r="L24" s="292" t="s">
        <v>299</v>
      </c>
      <c r="M24" s="310" t="s">
        <v>299</v>
      </c>
      <c r="N24" s="292" t="s">
        <v>299</v>
      </c>
    </row>
    <row r="25" spans="1:14">
      <c r="A25" s="282"/>
      <c r="B25" s="308" t="s">
        <v>299</v>
      </c>
      <c r="C25" s="883" t="s">
        <v>637</v>
      </c>
      <c r="D25" s="883" t="s">
        <v>638</v>
      </c>
      <c r="E25" s="890" t="s">
        <v>639</v>
      </c>
      <c r="F25" s="891"/>
      <c r="G25" s="890" t="s">
        <v>640</v>
      </c>
      <c r="H25" s="894"/>
      <c r="I25" s="891"/>
      <c r="J25" s="890" t="s">
        <v>641</v>
      </c>
      <c r="K25" s="891"/>
      <c r="L25" s="883" t="s">
        <v>92</v>
      </c>
      <c r="M25" s="310" t="s">
        <v>299</v>
      </c>
      <c r="N25" s="292" t="s">
        <v>299</v>
      </c>
    </row>
    <row r="26" spans="1:14">
      <c r="A26" s="282"/>
      <c r="B26" s="308" t="s">
        <v>299</v>
      </c>
      <c r="C26" s="884"/>
      <c r="D26" s="884"/>
      <c r="E26" s="892"/>
      <c r="F26" s="893"/>
      <c r="G26" s="892"/>
      <c r="H26" s="895"/>
      <c r="I26" s="893"/>
      <c r="J26" s="892"/>
      <c r="K26" s="893"/>
      <c r="L26" s="884"/>
      <c r="M26" s="310" t="s">
        <v>299</v>
      </c>
      <c r="N26" s="292" t="s">
        <v>299</v>
      </c>
    </row>
    <row r="27" spans="1:14">
      <c r="A27" s="282"/>
      <c r="B27" s="308" t="s">
        <v>299</v>
      </c>
      <c r="C27" s="326">
        <v>45741</v>
      </c>
      <c r="D27" s="324" t="s">
        <v>642</v>
      </c>
      <c r="E27" s="896" t="s">
        <v>643</v>
      </c>
      <c r="F27" s="897"/>
      <c r="G27" s="896" t="s">
        <v>644</v>
      </c>
      <c r="H27" s="896"/>
      <c r="I27" s="897"/>
      <c r="J27" s="896" t="s">
        <v>645</v>
      </c>
      <c r="K27" s="897"/>
      <c r="L27" s="327">
        <v>1</v>
      </c>
      <c r="M27" s="310" t="s">
        <v>299</v>
      </c>
      <c r="N27" s="292" t="s">
        <v>299</v>
      </c>
    </row>
    <row r="28" spans="1:14">
      <c r="A28" s="282"/>
      <c r="B28" s="308" t="s">
        <v>299</v>
      </c>
      <c r="C28" s="328" t="s">
        <v>299</v>
      </c>
      <c r="D28" s="329" t="s">
        <v>299</v>
      </c>
      <c r="E28" s="898" t="s">
        <v>299</v>
      </c>
      <c r="F28" s="899"/>
      <c r="G28" s="898" t="s">
        <v>299</v>
      </c>
      <c r="H28" s="898"/>
      <c r="I28" s="899"/>
      <c r="J28" s="898" t="s">
        <v>299</v>
      </c>
      <c r="K28" s="899"/>
      <c r="L28" s="330" t="s">
        <v>299</v>
      </c>
      <c r="M28" s="310" t="s">
        <v>299</v>
      </c>
      <c r="N28" s="292" t="s">
        <v>299</v>
      </c>
    </row>
    <row r="29" spans="1:14">
      <c r="A29" s="282"/>
      <c r="B29" s="308" t="s">
        <v>299</v>
      </c>
      <c r="C29" s="973" t="s">
        <v>646</v>
      </c>
      <c r="D29" s="974"/>
      <c r="E29" s="974"/>
      <c r="F29" s="974"/>
      <c r="G29" s="974"/>
      <c r="H29" s="974"/>
      <c r="I29" s="974"/>
      <c r="J29" s="974"/>
      <c r="K29" s="975"/>
      <c r="L29" s="331">
        <v>1</v>
      </c>
      <c r="M29" s="310" t="s">
        <v>299</v>
      </c>
      <c r="N29" s="292" t="s">
        <v>299</v>
      </c>
    </row>
    <row r="30" spans="1:14">
      <c r="A30" s="282"/>
      <c r="B30" s="308" t="s">
        <v>299</v>
      </c>
      <c r="C30" s="332" t="s">
        <v>299</v>
      </c>
      <c r="D30" s="292" t="s">
        <v>299</v>
      </c>
      <c r="E30" s="292" t="s">
        <v>299</v>
      </c>
      <c r="F30" s="292" t="s">
        <v>299</v>
      </c>
      <c r="G30" s="292" t="s">
        <v>299</v>
      </c>
      <c r="H30" s="292" t="s">
        <v>299</v>
      </c>
      <c r="I30" s="292" t="s">
        <v>299</v>
      </c>
      <c r="J30" s="292" t="s">
        <v>299</v>
      </c>
      <c r="K30" s="292" t="s">
        <v>299</v>
      </c>
      <c r="L30" s="292" t="s">
        <v>299</v>
      </c>
      <c r="M30" s="310" t="s">
        <v>299</v>
      </c>
      <c r="N30" s="292" t="s">
        <v>299</v>
      </c>
    </row>
    <row r="31" spans="1:14">
      <c r="A31" s="282"/>
      <c r="B31" s="308" t="s">
        <v>299</v>
      </c>
      <c r="C31" s="888" t="s">
        <v>647</v>
      </c>
      <c r="D31" s="888"/>
      <c r="E31" s="888"/>
      <c r="F31" s="888"/>
      <c r="G31" s="888"/>
      <c r="H31" s="888"/>
      <c r="I31" s="888"/>
      <c r="J31" s="888"/>
      <c r="K31" s="888"/>
      <c r="L31" s="888"/>
      <c r="M31" s="889"/>
      <c r="N31" s="292" t="s">
        <v>299</v>
      </c>
    </row>
    <row r="32" spans="1:14">
      <c r="A32" s="282"/>
      <c r="B32" s="308" t="s">
        <v>299</v>
      </c>
      <c r="C32" s="888"/>
      <c r="D32" s="888"/>
      <c r="E32" s="888"/>
      <c r="F32" s="888"/>
      <c r="G32" s="888"/>
      <c r="H32" s="888"/>
      <c r="I32" s="888"/>
      <c r="J32" s="888"/>
      <c r="K32" s="888"/>
      <c r="L32" s="888"/>
      <c r="M32" s="889"/>
      <c r="N32" s="292" t="s">
        <v>299</v>
      </c>
    </row>
    <row r="33" spans="1:14">
      <c r="A33" s="282"/>
      <c r="B33" s="308" t="s">
        <v>299</v>
      </c>
      <c r="C33" s="309" t="s">
        <v>299</v>
      </c>
      <c r="D33" s="292" t="s">
        <v>299</v>
      </c>
      <c r="E33" s="292" t="s">
        <v>299</v>
      </c>
      <c r="F33" s="292" t="s">
        <v>299</v>
      </c>
      <c r="G33" s="292" t="s">
        <v>299</v>
      </c>
      <c r="H33" s="292" t="s">
        <v>299</v>
      </c>
      <c r="I33" s="292" t="s">
        <v>299</v>
      </c>
      <c r="J33" s="292" t="s">
        <v>299</v>
      </c>
      <c r="K33" s="292" t="s">
        <v>299</v>
      </c>
      <c r="L33" s="292" t="s">
        <v>299</v>
      </c>
      <c r="M33" s="310" t="s">
        <v>299</v>
      </c>
      <c r="N33" s="292" t="s">
        <v>299</v>
      </c>
    </row>
    <row r="34" spans="1:14" ht="15" customHeight="1">
      <c r="A34" s="282"/>
      <c r="B34" s="308" t="s">
        <v>299</v>
      </c>
      <c r="C34" s="333" t="s">
        <v>637</v>
      </c>
      <c r="D34" s="320" t="s">
        <v>638</v>
      </c>
      <c r="E34" s="885" t="s">
        <v>639</v>
      </c>
      <c r="F34" s="887"/>
      <c r="G34" s="886" t="s">
        <v>648</v>
      </c>
      <c r="H34" s="886"/>
      <c r="I34" s="886"/>
      <c r="J34" s="887"/>
      <c r="K34" s="334" t="s">
        <v>649</v>
      </c>
      <c r="L34" s="334" t="s">
        <v>650</v>
      </c>
      <c r="M34" s="310" t="s">
        <v>299</v>
      </c>
      <c r="N34" s="292" t="s">
        <v>299</v>
      </c>
    </row>
    <row r="35" spans="1:14" ht="15" customHeight="1">
      <c r="A35" s="282"/>
      <c r="B35" s="308" t="s">
        <v>299</v>
      </c>
      <c r="C35" s="335" t="s">
        <v>651</v>
      </c>
      <c r="D35" s="327" t="s">
        <v>652</v>
      </c>
      <c r="E35" s="900" t="s">
        <v>643</v>
      </c>
      <c r="F35" s="901"/>
      <c r="G35" s="900" t="s">
        <v>644</v>
      </c>
      <c r="H35" s="900"/>
      <c r="I35" s="900"/>
      <c r="J35" s="901"/>
      <c r="K35" s="336">
        <v>1</v>
      </c>
      <c r="L35" s="336">
        <v>4</v>
      </c>
      <c r="M35" s="310" t="s">
        <v>299</v>
      </c>
      <c r="N35" s="292" t="s">
        <v>299</v>
      </c>
    </row>
    <row r="36" spans="1:14">
      <c r="A36" s="282"/>
      <c r="B36" s="308" t="s">
        <v>299</v>
      </c>
      <c r="C36" s="337" t="s">
        <v>299</v>
      </c>
      <c r="D36" s="338" t="s">
        <v>299</v>
      </c>
      <c r="E36" s="902" t="s">
        <v>299</v>
      </c>
      <c r="F36" s="903"/>
      <c r="G36" s="902" t="s">
        <v>299</v>
      </c>
      <c r="H36" s="902"/>
      <c r="I36" s="902"/>
      <c r="J36" s="903"/>
      <c r="K36" s="338" t="s">
        <v>299</v>
      </c>
      <c r="L36" s="339" t="s">
        <v>299</v>
      </c>
      <c r="M36" s="310" t="s">
        <v>299</v>
      </c>
      <c r="N36" s="292" t="s">
        <v>299</v>
      </c>
    </row>
    <row r="37" spans="1:14">
      <c r="A37" s="282"/>
      <c r="B37" s="308" t="s">
        <v>299</v>
      </c>
      <c r="C37" s="973" t="s">
        <v>653</v>
      </c>
      <c r="D37" s="974"/>
      <c r="E37" s="974"/>
      <c r="F37" s="974"/>
      <c r="G37" s="974"/>
      <c r="H37" s="974"/>
      <c r="I37" s="974"/>
      <c r="J37" s="974"/>
      <c r="K37" s="975"/>
      <c r="L37" s="331">
        <v>4</v>
      </c>
      <c r="M37" s="310" t="s">
        <v>299</v>
      </c>
      <c r="N37" s="292" t="s">
        <v>299</v>
      </c>
    </row>
    <row r="38" spans="1:14">
      <c r="A38" s="282"/>
      <c r="B38" s="308" t="s">
        <v>299</v>
      </c>
      <c r="C38" s="309" t="s">
        <v>299</v>
      </c>
      <c r="D38" s="292" t="s">
        <v>299</v>
      </c>
      <c r="E38" s="292" t="s">
        <v>299</v>
      </c>
      <c r="F38" s="292" t="s">
        <v>299</v>
      </c>
      <c r="G38" s="292" t="s">
        <v>299</v>
      </c>
      <c r="H38" s="292" t="s">
        <v>299</v>
      </c>
      <c r="I38" s="292" t="s">
        <v>299</v>
      </c>
      <c r="J38" s="292" t="s">
        <v>299</v>
      </c>
      <c r="K38" s="292" t="s">
        <v>299</v>
      </c>
      <c r="L38" s="292" t="s">
        <v>299</v>
      </c>
      <c r="M38" s="310" t="s">
        <v>299</v>
      </c>
      <c r="N38" s="292" t="s">
        <v>299</v>
      </c>
    </row>
    <row r="39" spans="1:14">
      <c r="A39" s="282"/>
      <c r="B39" s="308" t="s">
        <v>299</v>
      </c>
      <c r="C39" s="950" t="s">
        <v>654</v>
      </c>
      <c r="D39" s="950"/>
      <c r="E39" s="950"/>
      <c r="F39" s="950"/>
      <c r="G39" s="292" t="s">
        <v>299</v>
      </c>
      <c r="H39" s="292" t="s">
        <v>299</v>
      </c>
      <c r="I39" s="292" t="s">
        <v>299</v>
      </c>
      <c r="J39" s="292" t="s">
        <v>299</v>
      </c>
      <c r="K39" s="292" t="s">
        <v>299</v>
      </c>
      <c r="L39" s="292" t="s">
        <v>299</v>
      </c>
      <c r="M39" s="310" t="s">
        <v>299</v>
      </c>
      <c r="N39" s="292" t="s">
        <v>299</v>
      </c>
    </row>
    <row r="40" spans="1:14">
      <c r="A40" s="282"/>
      <c r="B40" s="308" t="s">
        <v>299</v>
      </c>
      <c r="C40" s="340" t="s">
        <v>299</v>
      </c>
      <c r="D40" s="340" t="s">
        <v>299</v>
      </c>
      <c r="E40" s="340" t="s">
        <v>299</v>
      </c>
      <c r="F40" s="340" t="s">
        <v>299</v>
      </c>
      <c r="G40" s="340" t="s">
        <v>299</v>
      </c>
      <c r="H40" s="340" t="s">
        <v>299</v>
      </c>
      <c r="I40" s="340" t="s">
        <v>299</v>
      </c>
      <c r="J40" s="340" t="s">
        <v>299</v>
      </c>
      <c r="K40" s="340" t="s">
        <v>299</v>
      </c>
      <c r="L40" s="340" t="s">
        <v>299</v>
      </c>
      <c r="M40" s="310" t="s">
        <v>299</v>
      </c>
      <c r="N40" s="292" t="s">
        <v>299</v>
      </c>
    </row>
    <row r="41" spans="1:14">
      <c r="A41" s="282"/>
      <c r="B41" s="308" t="s">
        <v>299</v>
      </c>
      <c r="C41" s="341" t="s">
        <v>655</v>
      </c>
      <c r="D41" s="976" t="s">
        <v>656</v>
      </c>
      <c r="E41" s="977"/>
      <c r="F41" s="904" t="s">
        <v>657</v>
      </c>
      <c r="G41" s="905"/>
      <c r="H41" s="342" t="s">
        <v>658</v>
      </c>
      <c r="I41" s="342" t="s">
        <v>268</v>
      </c>
      <c r="J41" s="342" t="s">
        <v>659</v>
      </c>
      <c r="K41" s="976" t="s">
        <v>660</v>
      </c>
      <c r="L41" s="977"/>
      <c r="M41" s="310" t="s">
        <v>299</v>
      </c>
      <c r="N41" s="292" t="s">
        <v>299</v>
      </c>
    </row>
    <row r="42" spans="1:14">
      <c r="A42" s="282"/>
      <c r="B42" s="308" t="s">
        <v>299</v>
      </c>
      <c r="C42" s="978">
        <v>1</v>
      </c>
      <c r="D42" s="886" t="s">
        <v>661</v>
      </c>
      <c r="E42" s="906"/>
      <c r="F42" s="979" t="s">
        <v>662</v>
      </c>
      <c r="G42" s="980"/>
      <c r="H42" s="324" t="s">
        <v>657</v>
      </c>
      <c r="I42" s="324" t="s">
        <v>657</v>
      </c>
      <c r="J42" s="324" t="s">
        <v>657</v>
      </c>
      <c r="K42" s="979" t="s">
        <v>657</v>
      </c>
      <c r="L42" s="980"/>
      <c r="M42" s="310" t="s">
        <v>299</v>
      </c>
      <c r="N42" s="292" t="s">
        <v>299</v>
      </c>
    </row>
    <row r="43" spans="1:14">
      <c r="A43" s="282"/>
      <c r="B43" s="308" t="s">
        <v>299</v>
      </c>
      <c r="C43" s="978"/>
      <c r="D43" s="976" t="s">
        <v>663</v>
      </c>
      <c r="E43" s="977"/>
      <c r="F43" s="979" t="s">
        <v>662</v>
      </c>
      <c r="G43" s="980"/>
      <c r="H43" s="976" t="s">
        <v>664</v>
      </c>
      <c r="I43" s="977"/>
      <c r="J43" s="979" t="s">
        <v>657</v>
      </c>
      <c r="K43" s="979"/>
      <c r="L43" s="980"/>
      <c r="M43" s="310" t="s">
        <v>299</v>
      </c>
      <c r="N43" s="292" t="s">
        <v>299</v>
      </c>
    </row>
    <row r="44" spans="1:14">
      <c r="A44" s="282"/>
      <c r="B44" s="308" t="s">
        <v>299</v>
      </c>
      <c r="C44" s="978"/>
      <c r="D44" s="976" t="s">
        <v>665</v>
      </c>
      <c r="E44" s="976"/>
      <c r="F44" s="976"/>
      <c r="G44" s="977"/>
      <c r="H44" s="976" t="s">
        <v>666</v>
      </c>
      <c r="I44" s="976"/>
      <c r="J44" s="976"/>
      <c r="K44" s="976"/>
      <c r="L44" s="977"/>
      <c r="M44" s="310" t="s">
        <v>299</v>
      </c>
      <c r="N44" s="292" t="s">
        <v>299</v>
      </c>
    </row>
    <row r="45" spans="1:14">
      <c r="A45" s="282"/>
      <c r="B45" s="308" t="s">
        <v>299</v>
      </c>
      <c r="C45" s="978"/>
      <c r="D45" s="981" t="s">
        <v>667</v>
      </c>
      <c r="E45" s="982"/>
      <c r="F45" s="982"/>
      <c r="G45" s="983"/>
      <c r="H45" s="981" t="s">
        <v>668</v>
      </c>
      <c r="I45" s="982"/>
      <c r="J45" s="982"/>
      <c r="K45" s="982"/>
      <c r="L45" s="983"/>
      <c r="M45" s="310" t="s">
        <v>299</v>
      </c>
      <c r="N45" s="292" t="s">
        <v>299</v>
      </c>
    </row>
    <row r="46" spans="1:14">
      <c r="A46" s="282"/>
      <c r="B46" s="308" t="s">
        <v>299</v>
      </c>
      <c r="C46" s="984"/>
      <c r="D46" s="985"/>
      <c r="E46" s="986"/>
      <c r="F46" s="986"/>
      <c r="G46" s="987"/>
      <c r="H46" s="985"/>
      <c r="I46" s="986"/>
      <c r="J46" s="986"/>
      <c r="K46" s="986"/>
      <c r="L46" s="987"/>
      <c r="M46" s="310" t="s">
        <v>299</v>
      </c>
      <c r="N46" s="292" t="s">
        <v>299</v>
      </c>
    </row>
    <row r="47" spans="1:14">
      <c r="A47" s="282"/>
      <c r="B47" s="308" t="s">
        <v>299</v>
      </c>
      <c r="C47" s="341" t="s">
        <v>655</v>
      </c>
      <c r="D47" s="976" t="s">
        <v>656</v>
      </c>
      <c r="E47" s="977"/>
      <c r="F47" s="904" t="s">
        <v>657</v>
      </c>
      <c r="G47" s="905"/>
      <c r="H47" s="342" t="s">
        <v>658</v>
      </c>
      <c r="I47" s="342" t="s">
        <v>268</v>
      </c>
      <c r="J47" s="342" t="s">
        <v>659</v>
      </c>
      <c r="K47" s="976" t="s">
        <v>660</v>
      </c>
      <c r="L47" s="977"/>
      <c r="M47" s="310" t="s">
        <v>299</v>
      </c>
      <c r="N47" s="292" t="s">
        <v>299</v>
      </c>
    </row>
    <row r="48" spans="1:14">
      <c r="A48" s="282"/>
      <c r="B48" s="308" t="s">
        <v>299</v>
      </c>
      <c r="C48" s="978">
        <v>2</v>
      </c>
      <c r="D48" s="886" t="s">
        <v>661</v>
      </c>
      <c r="E48" s="906"/>
      <c r="F48" s="979" t="s">
        <v>657</v>
      </c>
      <c r="G48" s="980"/>
      <c r="H48" s="324" t="s">
        <v>657</v>
      </c>
      <c r="I48" s="324" t="s">
        <v>657</v>
      </c>
      <c r="J48" s="324" t="s">
        <v>657</v>
      </c>
      <c r="K48" s="979" t="s">
        <v>657</v>
      </c>
      <c r="L48" s="980"/>
      <c r="M48" s="310" t="s">
        <v>299</v>
      </c>
      <c r="N48" s="292" t="s">
        <v>299</v>
      </c>
    </row>
    <row r="49" spans="1:14">
      <c r="A49" s="282"/>
      <c r="B49" s="308" t="s">
        <v>299</v>
      </c>
      <c r="C49" s="978"/>
      <c r="D49" s="976" t="s">
        <v>663</v>
      </c>
      <c r="E49" s="977"/>
      <c r="F49" s="979" t="s">
        <v>657</v>
      </c>
      <c r="G49" s="980"/>
      <c r="H49" s="976" t="s">
        <v>664</v>
      </c>
      <c r="I49" s="977"/>
      <c r="J49" s="979" t="s">
        <v>657</v>
      </c>
      <c r="K49" s="979"/>
      <c r="L49" s="980"/>
      <c r="M49" s="310" t="s">
        <v>299</v>
      </c>
      <c r="N49" s="292" t="s">
        <v>299</v>
      </c>
    </row>
    <row r="50" spans="1:14">
      <c r="A50" s="282"/>
      <c r="B50" s="308" t="s">
        <v>299</v>
      </c>
      <c r="C50" s="978"/>
      <c r="D50" s="976" t="s">
        <v>665</v>
      </c>
      <c r="E50" s="976"/>
      <c r="F50" s="976"/>
      <c r="G50" s="977"/>
      <c r="H50" s="976" t="s">
        <v>666</v>
      </c>
      <c r="I50" s="976"/>
      <c r="J50" s="976"/>
      <c r="K50" s="976"/>
      <c r="L50" s="977"/>
      <c r="M50" s="310" t="s">
        <v>299</v>
      </c>
      <c r="N50" s="292" t="s">
        <v>299</v>
      </c>
    </row>
    <row r="51" spans="1:14">
      <c r="A51" s="282"/>
      <c r="B51" s="308" t="s">
        <v>299</v>
      </c>
      <c r="C51" s="978"/>
      <c r="D51" s="981" t="s">
        <v>667</v>
      </c>
      <c r="E51" s="982"/>
      <c r="F51" s="982"/>
      <c r="G51" s="983"/>
      <c r="H51" s="981" t="s">
        <v>668</v>
      </c>
      <c r="I51" s="982"/>
      <c r="J51" s="982"/>
      <c r="K51" s="982"/>
      <c r="L51" s="988"/>
      <c r="M51" s="310" t="s">
        <v>299</v>
      </c>
      <c r="N51" s="292" t="s">
        <v>299</v>
      </c>
    </row>
    <row r="52" spans="1:14">
      <c r="A52" s="282"/>
      <c r="B52" s="308" t="s">
        <v>299</v>
      </c>
      <c r="C52" s="978"/>
      <c r="D52" s="989"/>
      <c r="E52" s="990"/>
      <c r="F52" s="990"/>
      <c r="G52" s="991"/>
      <c r="H52" s="989"/>
      <c r="I52" s="990"/>
      <c r="J52" s="990"/>
      <c r="K52" s="990"/>
      <c r="L52" s="992"/>
      <c r="M52" s="310" t="s">
        <v>299</v>
      </c>
      <c r="N52" s="292" t="s">
        <v>299</v>
      </c>
    </row>
    <row r="53" spans="1:14">
      <c r="A53" s="282"/>
      <c r="B53" s="308" t="s">
        <v>299</v>
      </c>
      <c r="C53" s="984"/>
      <c r="D53" s="985"/>
      <c r="E53" s="986"/>
      <c r="F53" s="986"/>
      <c r="G53" s="987"/>
      <c r="H53" s="993"/>
      <c r="I53" s="994"/>
      <c r="J53" s="994"/>
      <c r="K53" s="994"/>
      <c r="L53" s="995"/>
      <c r="M53" s="310" t="s">
        <v>299</v>
      </c>
      <c r="N53" s="292" t="s">
        <v>299</v>
      </c>
    </row>
    <row r="54" spans="1:14">
      <c r="A54" s="282"/>
      <c r="B54" s="308" t="s">
        <v>299</v>
      </c>
      <c r="C54" s="309" t="s">
        <v>299</v>
      </c>
      <c r="D54" s="292" t="s">
        <v>299</v>
      </c>
      <c r="E54" s="292" t="s">
        <v>299</v>
      </c>
      <c r="F54" s="292" t="s">
        <v>299</v>
      </c>
      <c r="G54" s="292" t="s">
        <v>299</v>
      </c>
      <c r="H54" s="292" t="s">
        <v>299</v>
      </c>
      <c r="I54" s="292" t="s">
        <v>299</v>
      </c>
      <c r="J54" s="292" t="s">
        <v>299</v>
      </c>
      <c r="K54" s="292" t="s">
        <v>299</v>
      </c>
      <c r="L54" s="292" t="s">
        <v>299</v>
      </c>
      <c r="M54" s="310" t="s">
        <v>299</v>
      </c>
      <c r="N54" s="292" t="s">
        <v>299</v>
      </c>
    </row>
    <row r="55" spans="1:14">
      <c r="A55" s="282"/>
      <c r="B55" s="308" t="s">
        <v>299</v>
      </c>
      <c r="C55" s="950" t="s">
        <v>669</v>
      </c>
      <c r="D55" s="950"/>
      <c r="E55" s="950"/>
      <c r="F55" s="950"/>
      <c r="G55" s="950"/>
      <c r="H55" s="292" t="s">
        <v>299</v>
      </c>
      <c r="I55" s="292" t="s">
        <v>299</v>
      </c>
      <c r="J55" s="292" t="s">
        <v>299</v>
      </c>
      <c r="K55" s="292" t="s">
        <v>299</v>
      </c>
      <c r="L55" s="292" t="s">
        <v>299</v>
      </c>
      <c r="M55" s="310" t="s">
        <v>299</v>
      </c>
      <c r="N55" s="292" t="s">
        <v>299</v>
      </c>
    </row>
    <row r="56" spans="1:14">
      <c r="A56" s="282"/>
      <c r="B56" s="308" t="s">
        <v>299</v>
      </c>
      <c r="C56" s="343" t="s">
        <v>299</v>
      </c>
      <c r="D56" s="309" t="s">
        <v>299</v>
      </c>
      <c r="E56" s="309" t="s">
        <v>299</v>
      </c>
      <c r="F56" s="309" t="s">
        <v>299</v>
      </c>
      <c r="G56" s="309" t="s">
        <v>299</v>
      </c>
      <c r="H56" s="292" t="s">
        <v>299</v>
      </c>
      <c r="I56" s="292" t="s">
        <v>299</v>
      </c>
      <c r="J56" s="292" t="s">
        <v>299</v>
      </c>
      <c r="K56" s="292" t="s">
        <v>299</v>
      </c>
      <c r="L56" s="292" t="s">
        <v>299</v>
      </c>
      <c r="M56" s="310" t="s">
        <v>299</v>
      </c>
      <c r="N56" s="292" t="s">
        <v>299</v>
      </c>
    </row>
    <row r="57" spans="1:14">
      <c r="A57" s="282"/>
      <c r="B57" s="308" t="s">
        <v>299</v>
      </c>
      <c r="C57" s="321" t="s">
        <v>670</v>
      </c>
      <c r="D57" s="974" t="s">
        <v>671</v>
      </c>
      <c r="E57" s="974"/>
      <c r="F57" s="974"/>
      <c r="G57" s="996"/>
      <c r="H57" s="344" t="s">
        <v>658</v>
      </c>
      <c r="I57" s="344" t="s">
        <v>268</v>
      </c>
      <c r="J57" s="344" t="s">
        <v>659</v>
      </c>
      <c r="K57" s="974" t="s">
        <v>672</v>
      </c>
      <c r="L57" s="974"/>
      <c r="M57" s="996"/>
      <c r="N57" s="292" t="s">
        <v>299</v>
      </c>
    </row>
    <row r="58" spans="1:14">
      <c r="A58" s="282"/>
      <c r="B58" s="308" t="s">
        <v>299</v>
      </c>
      <c r="C58" s="978">
        <v>1</v>
      </c>
      <c r="D58" s="997" t="s">
        <v>673</v>
      </c>
      <c r="E58" s="997"/>
      <c r="F58" s="997"/>
      <c r="G58" s="998"/>
      <c r="H58" s="325" t="s">
        <v>673</v>
      </c>
      <c r="I58" s="325" t="s">
        <v>673</v>
      </c>
      <c r="J58" s="325" t="s">
        <v>673</v>
      </c>
      <c r="K58" s="974" t="s">
        <v>673</v>
      </c>
      <c r="L58" s="974"/>
      <c r="M58" s="996"/>
      <c r="N58" s="292" t="s">
        <v>299</v>
      </c>
    </row>
    <row r="59" spans="1:14">
      <c r="A59" s="282"/>
      <c r="B59" s="308" t="s">
        <v>299</v>
      </c>
      <c r="C59" s="978"/>
      <c r="D59" s="999" t="s">
        <v>665</v>
      </c>
      <c r="E59" s="999"/>
      <c r="F59" s="999"/>
      <c r="G59" s="999"/>
      <c r="H59" s="999"/>
      <c r="I59" s="999"/>
      <c r="J59" s="999"/>
      <c r="K59" s="999"/>
      <c r="L59" s="999"/>
      <c r="M59" s="1000"/>
      <c r="N59" s="292" t="s">
        <v>299</v>
      </c>
    </row>
    <row r="60" spans="1:14">
      <c r="A60" s="282"/>
      <c r="B60" s="308" t="s">
        <v>299</v>
      </c>
      <c r="C60" s="978"/>
      <c r="D60" s="981" t="s">
        <v>674</v>
      </c>
      <c r="E60" s="982"/>
      <c r="F60" s="982"/>
      <c r="G60" s="982"/>
      <c r="H60" s="982"/>
      <c r="I60" s="982"/>
      <c r="J60" s="982"/>
      <c r="K60" s="982"/>
      <c r="L60" s="982"/>
      <c r="M60" s="988"/>
      <c r="N60" s="292" t="s">
        <v>299</v>
      </c>
    </row>
    <row r="61" spans="1:14">
      <c r="A61" s="282"/>
      <c r="B61" s="308" t="s">
        <v>299</v>
      </c>
      <c r="C61" s="978"/>
      <c r="D61" s="989"/>
      <c r="E61" s="990"/>
      <c r="F61" s="990"/>
      <c r="G61" s="990"/>
      <c r="H61" s="990"/>
      <c r="I61" s="990"/>
      <c r="J61" s="990"/>
      <c r="K61" s="990"/>
      <c r="L61" s="990"/>
      <c r="M61" s="992"/>
      <c r="N61" s="292" t="s">
        <v>299</v>
      </c>
    </row>
    <row r="62" spans="1:14">
      <c r="A62" s="282"/>
      <c r="B62" s="308" t="s">
        <v>299</v>
      </c>
      <c r="C62" s="1001"/>
      <c r="D62" s="993"/>
      <c r="E62" s="994"/>
      <c r="F62" s="994"/>
      <c r="G62" s="994"/>
      <c r="H62" s="994"/>
      <c r="I62" s="994"/>
      <c r="J62" s="994"/>
      <c r="K62" s="994"/>
      <c r="L62" s="994"/>
      <c r="M62" s="995"/>
      <c r="N62" s="292" t="s">
        <v>299</v>
      </c>
    </row>
    <row r="63" spans="1:14">
      <c r="A63" s="282"/>
      <c r="B63" s="308" t="s">
        <v>299</v>
      </c>
      <c r="C63" s="978">
        <v>2</v>
      </c>
      <c r="D63" s="997" t="s">
        <v>673</v>
      </c>
      <c r="E63" s="997"/>
      <c r="F63" s="997"/>
      <c r="G63" s="998"/>
      <c r="H63" s="325" t="s">
        <v>673</v>
      </c>
      <c r="I63" s="325" t="s">
        <v>673</v>
      </c>
      <c r="J63" s="325" t="s">
        <v>673</v>
      </c>
      <c r="K63" s="974" t="s">
        <v>673</v>
      </c>
      <c r="L63" s="974"/>
      <c r="M63" s="996"/>
      <c r="N63" s="292" t="s">
        <v>299</v>
      </c>
    </row>
    <row r="64" spans="1:14">
      <c r="A64" s="282"/>
      <c r="B64" s="308" t="s">
        <v>299</v>
      </c>
      <c r="C64" s="978"/>
      <c r="D64" s="974" t="s">
        <v>665</v>
      </c>
      <c r="E64" s="974"/>
      <c r="F64" s="974"/>
      <c r="G64" s="974"/>
      <c r="H64" s="974"/>
      <c r="I64" s="974"/>
      <c r="J64" s="974"/>
      <c r="K64" s="974"/>
      <c r="L64" s="974"/>
      <c r="M64" s="975"/>
      <c r="N64" s="292" t="s">
        <v>299</v>
      </c>
    </row>
    <row r="65" spans="1:14">
      <c r="A65" s="282"/>
      <c r="B65" s="308" t="s">
        <v>299</v>
      </c>
      <c r="C65" s="1001"/>
      <c r="D65" s="986" t="s">
        <v>674</v>
      </c>
      <c r="E65" s="986"/>
      <c r="F65" s="986"/>
      <c r="G65" s="986"/>
      <c r="H65" s="986"/>
      <c r="I65" s="986"/>
      <c r="J65" s="986"/>
      <c r="K65" s="986"/>
      <c r="L65" s="986"/>
      <c r="M65" s="1002"/>
      <c r="N65" s="292" t="s">
        <v>299</v>
      </c>
    </row>
    <row r="66" spans="1:14">
      <c r="A66" s="282"/>
      <c r="B66" s="308" t="s">
        <v>299</v>
      </c>
      <c r="C66" s="345" t="s">
        <v>299</v>
      </c>
      <c r="D66" s="346" t="s">
        <v>299</v>
      </c>
      <c r="E66" s="346" t="s">
        <v>299</v>
      </c>
      <c r="F66" s="346" t="s">
        <v>299</v>
      </c>
      <c r="G66" s="346" t="s">
        <v>299</v>
      </c>
      <c r="H66" s="346" t="s">
        <v>299</v>
      </c>
      <c r="I66" s="346" t="s">
        <v>299</v>
      </c>
      <c r="J66" s="346" t="s">
        <v>299</v>
      </c>
      <c r="K66" s="346" t="s">
        <v>299</v>
      </c>
      <c r="L66" s="346" t="s">
        <v>299</v>
      </c>
      <c r="M66" s="347" t="s">
        <v>299</v>
      </c>
      <c r="N66" s="292" t="s">
        <v>299</v>
      </c>
    </row>
    <row r="67" spans="1:14">
      <c r="A67" s="282"/>
      <c r="B67" s="308" t="s">
        <v>299</v>
      </c>
      <c r="C67" s="950" t="s">
        <v>675</v>
      </c>
      <c r="D67" s="950"/>
      <c r="E67" s="950"/>
      <c r="F67" s="950"/>
      <c r="G67" s="346" t="s">
        <v>299</v>
      </c>
      <c r="H67" s="346" t="s">
        <v>299</v>
      </c>
      <c r="I67" s="346" t="s">
        <v>299</v>
      </c>
      <c r="J67" s="346" t="s">
        <v>299</v>
      </c>
      <c r="K67" s="346" t="s">
        <v>299</v>
      </c>
      <c r="L67" s="346" t="s">
        <v>299</v>
      </c>
      <c r="M67" s="347" t="s">
        <v>299</v>
      </c>
      <c r="N67" s="292" t="s">
        <v>299</v>
      </c>
    </row>
    <row r="68" spans="1:14">
      <c r="A68" s="282"/>
      <c r="B68" s="308" t="s">
        <v>299</v>
      </c>
      <c r="C68" s="1003" t="s">
        <v>676</v>
      </c>
      <c r="D68" s="1003"/>
      <c r="E68" s="1003"/>
      <c r="F68" s="1003"/>
      <c r="G68" s="292" t="s">
        <v>299</v>
      </c>
      <c r="H68" s="292" t="s">
        <v>299</v>
      </c>
      <c r="I68" s="292" t="s">
        <v>299</v>
      </c>
      <c r="J68" s="292" t="s">
        <v>299</v>
      </c>
      <c r="K68" s="292" t="s">
        <v>299</v>
      </c>
      <c r="L68" s="292" t="s">
        <v>299</v>
      </c>
      <c r="M68" s="310" t="s">
        <v>299</v>
      </c>
      <c r="N68" s="292" t="s">
        <v>299</v>
      </c>
    </row>
    <row r="69" spans="1:14">
      <c r="A69" s="282"/>
      <c r="B69" s="308" t="s">
        <v>299</v>
      </c>
      <c r="C69" s="1003" t="s">
        <v>677</v>
      </c>
      <c r="D69" s="1003"/>
      <c r="E69" s="1003"/>
      <c r="F69" s="1003"/>
      <c r="G69" s="292" t="s">
        <v>299</v>
      </c>
      <c r="H69" s="292" t="s">
        <v>299</v>
      </c>
      <c r="I69" s="292" t="s">
        <v>299</v>
      </c>
      <c r="J69" s="292" t="s">
        <v>299</v>
      </c>
      <c r="K69" s="292" t="s">
        <v>299</v>
      </c>
      <c r="L69" s="292" t="s">
        <v>299</v>
      </c>
      <c r="M69" s="310" t="s">
        <v>299</v>
      </c>
      <c r="N69" s="292" t="s">
        <v>299</v>
      </c>
    </row>
    <row r="70" spans="1:14">
      <c r="A70" s="282"/>
      <c r="B70" s="308" t="s">
        <v>299</v>
      </c>
      <c r="C70" s="1003" t="s">
        <v>678</v>
      </c>
      <c r="D70" s="1003"/>
      <c r="E70" s="1003"/>
      <c r="F70" s="1003"/>
      <c r="G70" s="1003"/>
      <c r="H70" s="1003"/>
      <c r="I70" s="292" t="s">
        <v>299</v>
      </c>
      <c r="J70" s="292" t="s">
        <v>299</v>
      </c>
      <c r="K70" s="292" t="s">
        <v>299</v>
      </c>
      <c r="L70" s="292" t="s">
        <v>299</v>
      </c>
      <c r="M70" s="310" t="s">
        <v>299</v>
      </c>
      <c r="N70" s="292" t="s">
        <v>299</v>
      </c>
    </row>
    <row r="71" spans="1:14">
      <c r="A71" s="282"/>
      <c r="B71" s="308" t="s">
        <v>299</v>
      </c>
      <c r="C71" s="1003" t="s">
        <v>679</v>
      </c>
      <c r="D71" s="1003"/>
      <c r="E71" s="1003"/>
      <c r="F71" s="1003"/>
      <c r="G71" s="292" t="s">
        <v>299</v>
      </c>
      <c r="H71" s="292" t="s">
        <v>299</v>
      </c>
      <c r="I71" s="292" t="s">
        <v>299</v>
      </c>
      <c r="J71" s="292" t="s">
        <v>299</v>
      </c>
      <c r="K71" s="292" t="s">
        <v>299</v>
      </c>
      <c r="L71" s="292" t="s">
        <v>299</v>
      </c>
      <c r="M71" s="310" t="s">
        <v>299</v>
      </c>
      <c r="N71" s="292" t="s">
        <v>299</v>
      </c>
    </row>
    <row r="72" spans="1:14">
      <c r="A72" s="282"/>
      <c r="B72" s="308" t="s">
        <v>299</v>
      </c>
      <c r="C72" s="950" t="s">
        <v>680</v>
      </c>
      <c r="D72" s="950"/>
      <c r="E72" s="950"/>
      <c r="F72" s="950"/>
      <c r="G72" s="950"/>
      <c r="H72" s="292" t="s">
        <v>299</v>
      </c>
      <c r="I72" s="292" t="s">
        <v>299</v>
      </c>
      <c r="J72" s="292" t="s">
        <v>299</v>
      </c>
      <c r="K72" s="292" t="s">
        <v>299</v>
      </c>
      <c r="L72" s="292" t="s">
        <v>299</v>
      </c>
      <c r="M72" s="310" t="s">
        <v>299</v>
      </c>
      <c r="N72" s="292" t="s">
        <v>299</v>
      </c>
    </row>
    <row r="73" spans="1:14">
      <c r="A73" s="282"/>
      <c r="B73" s="308" t="s">
        <v>299</v>
      </c>
      <c r="C73" s="309" t="s">
        <v>299</v>
      </c>
      <c r="D73" s="292" t="s">
        <v>299</v>
      </c>
      <c r="E73" s="292" t="s">
        <v>299</v>
      </c>
      <c r="F73" s="292" t="s">
        <v>299</v>
      </c>
      <c r="G73" s="292" t="s">
        <v>299</v>
      </c>
      <c r="H73" s="292" t="s">
        <v>299</v>
      </c>
      <c r="I73" s="292" t="s">
        <v>299</v>
      </c>
      <c r="J73" s="292" t="s">
        <v>299</v>
      </c>
      <c r="K73" s="292" t="s">
        <v>299</v>
      </c>
      <c r="L73" s="292" t="s">
        <v>299</v>
      </c>
      <c r="M73" s="310" t="s">
        <v>299</v>
      </c>
      <c r="N73" s="292" t="s">
        <v>299</v>
      </c>
    </row>
    <row r="74" spans="1:14">
      <c r="A74" s="282"/>
      <c r="B74" s="308" t="s">
        <v>299</v>
      </c>
      <c r="C74" s="950" t="s">
        <v>681</v>
      </c>
      <c r="D74" s="950"/>
      <c r="E74" s="950"/>
      <c r="F74" s="950"/>
      <c r="G74" s="292" t="s">
        <v>299</v>
      </c>
      <c r="H74" s="292" t="s">
        <v>299</v>
      </c>
      <c r="I74" s="292" t="s">
        <v>299</v>
      </c>
      <c r="J74" s="292" t="s">
        <v>299</v>
      </c>
      <c r="K74" s="292" t="s">
        <v>299</v>
      </c>
      <c r="L74" s="292" t="s">
        <v>299</v>
      </c>
      <c r="M74" s="310" t="s">
        <v>299</v>
      </c>
      <c r="N74" s="292" t="s">
        <v>299</v>
      </c>
    </row>
    <row r="75" spans="1:14">
      <c r="A75" s="282"/>
      <c r="B75" s="308" t="s">
        <v>299</v>
      </c>
      <c r="C75" s="1004" t="s">
        <v>682</v>
      </c>
      <c r="D75" s="1004"/>
      <c r="E75" s="1004"/>
      <c r="F75" s="1004"/>
      <c r="G75" s="292" t="s">
        <v>299</v>
      </c>
      <c r="H75" s="292" t="s">
        <v>299</v>
      </c>
      <c r="I75" s="292" t="s">
        <v>299</v>
      </c>
      <c r="J75" s="292" t="s">
        <v>299</v>
      </c>
      <c r="K75" s="292" t="s">
        <v>299</v>
      </c>
      <c r="L75" s="292" t="s">
        <v>299</v>
      </c>
      <c r="M75" s="310" t="s">
        <v>299</v>
      </c>
      <c r="N75" s="292" t="s">
        <v>299</v>
      </c>
    </row>
    <row r="76" spans="1:14">
      <c r="A76" s="282"/>
      <c r="B76" s="308" t="s">
        <v>299</v>
      </c>
      <c r="C76" s="950" t="s">
        <v>683</v>
      </c>
      <c r="D76" s="950"/>
      <c r="E76" s="950"/>
      <c r="F76" s="950"/>
      <c r="G76" s="292" t="s">
        <v>299</v>
      </c>
      <c r="H76" s="292" t="s">
        <v>299</v>
      </c>
      <c r="I76" s="292" t="s">
        <v>299</v>
      </c>
      <c r="J76" s="292" t="s">
        <v>299</v>
      </c>
      <c r="K76" s="292" t="s">
        <v>299</v>
      </c>
      <c r="L76" s="292" t="s">
        <v>299</v>
      </c>
      <c r="M76" s="310" t="s">
        <v>299</v>
      </c>
      <c r="N76" s="292" t="s">
        <v>299</v>
      </c>
    </row>
    <row r="77" spans="1:14">
      <c r="A77" s="282"/>
      <c r="B77" s="348" t="s">
        <v>299</v>
      </c>
      <c r="C77" s="340" t="s">
        <v>299</v>
      </c>
      <c r="D77" s="340" t="s">
        <v>299</v>
      </c>
      <c r="E77" s="340" t="s">
        <v>299</v>
      </c>
      <c r="F77" s="340" t="s">
        <v>299</v>
      </c>
      <c r="G77" s="340" t="s">
        <v>299</v>
      </c>
      <c r="H77" s="340" t="s">
        <v>299</v>
      </c>
      <c r="I77" s="340" t="s">
        <v>299</v>
      </c>
      <c r="J77" s="340" t="s">
        <v>299</v>
      </c>
      <c r="K77" s="340" t="s">
        <v>299</v>
      </c>
      <c r="L77" s="340" t="s">
        <v>299</v>
      </c>
      <c r="M77" s="349" t="s">
        <v>299</v>
      </c>
      <c r="N77" s="292" t="s">
        <v>299</v>
      </c>
    </row>
    <row r="78" spans="1:14">
      <c r="A78" s="282"/>
      <c r="B78" s="292" t="s">
        <v>299</v>
      </c>
      <c r="C78" s="292" t="s">
        <v>299</v>
      </c>
      <c r="D78" s="292" t="s">
        <v>299</v>
      </c>
      <c r="E78" s="292" t="s">
        <v>299</v>
      </c>
      <c r="F78" s="292" t="s">
        <v>299</v>
      </c>
      <c r="G78" s="292" t="s">
        <v>299</v>
      </c>
      <c r="H78" s="292" t="s">
        <v>299</v>
      </c>
      <c r="I78" s="292" t="s">
        <v>299</v>
      </c>
      <c r="J78" s="292" t="s">
        <v>299</v>
      </c>
      <c r="K78" s="292" t="s">
        <v>299</v>
      </c>
      <c r="L78" s="292" t="s">
        <v>299</v>
      </c>
      <c r="M78" s="292" t="s">
        <v>299</v>
      </c>
      <c r="N78" s="292" t="s">
        <v>299</v>
      </c>
    </row>
  </sheetData>
  <mergeCells count="93">
    <mergeCell ref="C75:F75"/>
    <mergeCell ref="C76:F76"/>
    <mergeCell ref="C68:F68"/>
    <mergeCell ref="C69:F69"/>
    <mergeCell ref="C70:H70"/>
    <mergeCell ref="C71:F71"/>
    <mergeCell ref="C72:G72"/>
    <mergeCell ref="C74:F74"/>
    <mergeCell ref="C67:F67"/>
    <mergeCell ref="C55:G55"/>
    <mergeCell ref="D57:G57"/>
    <mergeCell ref="K57:M57"/>
    <mergeCell ref="C58:C62"/>
    <mergeCell ref="D58:G58"/>
    <mergeCell ref="K58:M58"/>
    <mergeCell ref="D59:M59"/>
    <mergeCell ref="D60:M62"/>
    <mergeCell ref="C63:C65"/>
    <mergeCell ref="D63:G63"/>
    <mergeCell ref="K63:M63"/>
    <mergeCell ref="D64:M64"/>
    <mergeCell ref="D65:M65"/>
    <mergeCell ref="D47:E47"/>
    <mergeCell ref="F47:G47"/>
    <mergeCell ref="K47:L47"/>
    <mergeCell ref="F49:G49"/>
    <mergeCell ref="H49:I49"/>
    <mergeCell ref="J49:L49"/>
    <mergeCell ref="C48:C53"/>
    <mergeCell ref="D48:E48"/>
    <mergeCell ref="F48:G48"/>
    <mergeCell ref="K48:L48"/>
    <mergeCell ref="D49:E49"/>
    <mergeCell ref="D51:G53"/>
    <mergeCell ref="H51:L53"/>
    <mergeCell ref="D50:G50"/>
    <mergeCell ref="H50:L50"/>
    <mergeCell ref="C42:C46"/>
    <mergeCell ref="D42:E42"/>
    <mergeCell ref="F42:G42"/>
    <mergeCell ref="K42:L42"/>
    <mergeCell ref="D43:E43"/>
    <mergeCell ref="F43:G43"/>
    <mergeCell ref="H43:I43"/>
    <mergeCell ref="J43:L43"/>
    <mergeCell ref="D44:G44"/>
    <mergeCell ref="H44:L44"/>
    <mergeCell ref="D45:G46"/>
    <mergeCell ref="H45:L46"/>
    <mergeCell ref="E36:F36"/>
    <mergeCell ref="G36:J36"/>
    <mergeCell ref="C37:K37"/>
    <mergeCell ref="C39:F39"/>
    <mergeCell ref="D41:E41"/>
    <mergeCell ref="F41:G41"/>
    <mergeCell ref="K41:L41"/>
    <mergeCell ref="C29:K29"/>
    <mergeCell ref="C31:M32"/>
    <mergeCell ref="E34:F34"/>
    <mergeCell ref="G34:J34"/>
    <mergeCell ref="E35:F35"/>
    <mergeCell ref="G35:J35"/>
    <mergeCell ref="E27:F27"/>
    <mergeCell ref="G27:I27"/>
    <mergeCell ref="J27:K27"/>
    <mergeCell ref="E28:F28"/>
    <mergeCell ref="G28:I28"/>
    <mergeCell ref="J28:K28"/>
    <mergeCell ref="L25:L26"/>
    <mergeCell ref="C13:E13"/>
    <mergeCell ref="I13:K13"/>
    <mergeCell ref="C14:E14"/>
    <mergeCell ref="I14:K14"/>
    <mergeCell ref="C18:L18"/>
    <mergeCell ref="C22:M23"/>
    <mergeCell ref="C25:C26"/>
    <mergeCell ref="D25:D26"/>
    <mergeCell ref="E25:F26"/>
    <mergeCell ref="G25:I26"/>
    <mergeCell ref="J25:K26"/>
    <mergeCell ref="C12:E12"/>
    <mergeCell ref="I12:K12"/>
    <mergeCell ref="C1:M1"/>
    <mergeCell ref="C2:M2"/>
    <mergeCell ref="C3:M3"/>
    <mergeCell ref="C4:M4"/>
    <mergeCell ref="C5:M5"/>
    <mergeCell ref="C6:M6"/>
    <mergeCell ref="C7:M8"/>
    <mergeCell ref="C10:G10"/>
    <mergeCell ref="I10:M10"/>
    <mergeCell ref="C11:E11"/>
    <mergeCell ref="I11:K1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4D6B77-340F-46EB-878D-3D981A5D9D69}">
  <dimension ref="A1:AH34"/>
  <sheetViews>
    <sheetView workbookViewId="0">
      <selection activeCell="G1" sqref="G1"/>
    </sheetView>
  </sheetViews>
  <sheetFormatPr defaultRowHeight="15"/>
  <cols>
    <col min="2" max="2" width="21.28515625" customWidth="1"/>
    <col min="3" max="3" width="29.140625" customWidth="1"/>
    <col min="5" max="5" width="28.7109375" customWidth="1"/>
    <col min="6" max="6" width="57.28515625" customWidth="1"/>
    <col min="8" max="9" width="9.140625" customWidth="1"/>
    <col min="13" max="13" width="10" style="468" customWidth="1"/>
    <col min="15" max="15" width="9.140625" style="468"/>
    <col min="17" max="17" width="9.140625" style="468"/>
    <col min="19" max="19" width="9.140625" style="468"/>
    <col min="21" max="21" width="9.140625" style="468"/>
    <col min="23" max="23" width="9.140625" style="468"/>
    <col min="25" max="25" width="9.140625" style="468"/>
    <col min="27" max="27" width="9.140625" style="468"/>
    <col min="29" max="29" width="9.140625" style="468"/>
    <col min="31" max="31" width="11.42578125" style="468" bestFit="1" customWidth="1"/>
    <col min="34" max="34" width="12" style="468" customWidth="1"/>
  </cols>
  <sheetData>
    <row r="1" spans="1:34" s="200" customFormat="1" ht="47.25">
      <c r="A1" s="436" t="s">
        <v>150</v>
      </c>
      <c r="B1" s="436" t="s">
        <v>91</v>
      </c>
      <c r="C1" s="436" t="s">
        <v>150</v>
      </c>
      <c r="D1" s="437" t="s">
        <v>92</v>
      </c>
      <c r="E1" s="436" t="s">
        <v>151</v>
      </c>
      <c r="F1" s="438" t="s">
        <v>152</v>
      </c>
      <c r="G1" s="439" t="s">
        <v>153</v>
      </c>
      <c r="H1" s="439" t="s">
        <v>154</v>
      </c>
      <c r="I1" s="439" t="s">
        <v>155</v>
      </c>
      <c r="J1" s="439" t="s">
        <v>156</v>
      </c>
      <c r="K1" s="439" t="s">
        <v>93</v>
      </c>
      <c r="L1" s="440" t="s">
        <v>256</v>
      </c>
      <c r="M1" s="441" t="s">
        <v>257</v>
      </c>
      <c r="N1" s="440" t="s">
        <v>684</v>
      </c>
      <c r="O1" s="441" t="s">
        <v>685</v>
      </c>
      <c r="P1" s="440" t="s">
        <v>686</v>
      </c>
      <c r="Q1" s="441" t="s">
        <v>687</v>
      </c>
      <c r="R1" s="440" t="s">
        <v>688</v>
      </c>
      <c r="S1" s="441" t="s">
        <v>689</v>
      </c>
      <c r="T1" s="440" t="s">
        <v>690</v>
      </c>
      <c r="U1" s="441" t="s">
        <v>691</v>
      </c>
      <c r="V1" s="440" t="s">
        <v>692</v>
      </c>
      <c r="W1" s="441" t="s">
        <v>693</v>
      </c>
      <c r="X1" s="440" t="s">
        <v>694</v>
      </c>
      <c r="Y1" s="441" t="s">
        <v>695</v>
      </c>
      <c r="Z1" s="440" t="s">
        <v>696</v>
      </c>
      <c r="AA1" s="441" t="s">
        <v>697</v>
      </c>
      <c r="AB1" s="440" t="s">
        <v>698</v>
      </c>
      <c r="AC1" s="441" t="s">
        <v>699</v>
      </c>
      <c r="AD1" s="442" t="s">
        <v>700</v>
      </c>
      <c r="AE1" s="443" t="s">
        <v>701</v>
      </c>
      <c r="AF1" s="444" t="s">
        <v>702</v>
      </c>
      <c r="AG1" s="445" t="s">
        <v>703</v>
      </c>
      <c r="AH1" s="446" t="s">
        <v>704</v>
      </c>
    </row>
    <row r="2" spans="1:34">
      <c r="A2" s="606">
        <v>1</v>
      </c>
      <c r="B2" s="604" t="s">
        <v>161</v>
      </c>
      <c r="C2" s="606" t="s">
        <v>162</v>
      </c>
      <c r="D2" s="645">
        <v>1310</v>
      </c>
      <c r="E2" s="681" t="s">
        <v>162</v>
      </c>
      <c r="F2" s="246" t="s">
        <v>163</v>
      </c>
      <c r="G2" s="690">
        <f>D2</f>
        <v>1310</v>
      </c>
      <c r="H2" s="626">
        <v>10</v>
      </c>
      <c r="I2" s="691">
        <f>G2/H2</f>
        <v>131</v>
      </c>
      <c r="J2" s="698">
        <v>175634</v>
      </c>
      <c r="K2" s="647">
        <f>J2*D2</f>
        <v>230080540</v>
      </c>
      <c r="L2" s="695"/>
      <c r="M2" s="696">
        <f>L2*$J$2</f>
        <v>0</v>
      </c>
      <c r="N2" s="643"/>
      <c r="O2" s="696">
        <f>N2*$J$2</f>
        <v>0</v>
      </c>
      <c r="P2" s="643"/>
      <c r="Q2" s="696">
        <f>P2*$J$2</f>
        <v>0</v>
      </c>
      <c r="R2" s="643"/>
      <c r="S2" s="696">
        <f>R2*$J$2</f>
        <v>0</v>
      </c>
      <c r="T2" s="643"/>
      <c r="U2" s="696">
        <f>T2*$J$2</f>
        <v>0</v>
      </c>
      <c r="V2" s="643"/>
      <c r="W2" s="696">
        <f>V2*$J$2</f>
        <v>0</v>
      </c>
      <c r="X2" s="643"/>
      <c r="Y2" s="696">
        <f>X2*$J$2</f>
        <v>0</v>
      </c>
      <c r="Z2" s="643"/>
      <c r="AA2" s="696">
        <f>Z2*$J$2</f>
        <v>0</v>
      </c>
      <c r="AB2" s="643"/>
      <c r="AC2" s="696">
        <f>AB2*$J$2</f>
        <v>0</v>
      </c>
      <c r="AD2" s="912">
        <f>AB2+Z2+X2+V2+T2+R2+P2+N2+L2</f>
        <v>0</v>
      </c>
      <c r="AE2" s="913">
        <f>AC2+AA2+Y2+W2+U2+S2+Q2+O2+M2</f>
        <v>0</v>
      </c>
      <c r="AF2" s="907">
        <f>AD2/G2</f>
        <v>0</v>
      </c>
      <c r="AG2" s="909">
        <f>AD2-G2</f>
        <v>-1310</v>
      </c>
      <c r="AH2" s="911">
        <f>AE2-K2</f>
        <v>-230080540</v>
      </c>
    </row>
    <row r="3" spans="1:34">
      <c r="A3" s="607"/>
      <c r="B3" s="605"/>
      <c r="C3" s="607"/>
      <c r="D3" s="646"/>
      <c r="E3" s="682"/>
      <c r="F3" s="247" t="s">
        <v>166</v>
      </c>
      <c r="G3" s="673"/>
      <c r="H3" s="626"/>
      <c r="I3" s="691"/>
      <c r="J3" s="698"/>
      <c r="K3" s="647"/>
      <c r="L3" s="695"/>
      <c r="M3" s="697"/>
      <c r="N3" s="643"/>
      <c r="O3" s="697"/>
      <c r="P3" s="643"/>
      <c r="Q3" s="697"/>
      <c r="R3" s="643"/>
      <c r="S3" s="697"/>
      <c r="T3" s="643"/>
      <c r="U3" s="697"/>
      <c r="V3" s="643"/>
      <c r="W3" s="697"/>
      <c r="X3" s="643"/>
      <c r="Y3" s="697"/>
      <c r="Z3" s="643"/>
      <c r="AA3" s="697"/>
      <c r="AB3" s="643"/>
      <c r="AC3" s="697"/>
      <c r="AD3" s="912"/>
      <c r="AE3" s="912"/>
      <c r="AF3" s="908"/>
      <c r="AG3" s="910"/>
      <c r="AH3" s="697"/>
    </row>
    <row r="4" spans="1:34">
      <c r="A4" s="606">
        <v>2</v>
      </c>
      <c r="B4" s="604" t="s">
        <v>169</v>
      </c>
      <c r="C4" s="604" t="s">
        <v>140</v>
      </c>
      <c r="D4" s="645">
        <v>460</v>
      </c>
      <c r="E4" s="650" t="s">
        <v>170</v>
      </c>
      <c r="F4" s="623" t="s">
        <v>171</v>
      </c>
      <c r="G4" s="689">
        <v>460</v>
      </c>
      <c r="H4" s="626">
        <v>5</v>
      </c>
      <c r="I4" s="689">
        <f>G4/H4</f>
        <v>92</v>
      </c>
      <c r="J4" s="698">
        <v>223020</v>
      </c>
      <c r="K4" s="647">
        <f>J4*D4</f>
        <v>102589200</v>
      </c>
      <c r="L4" s="699"/>
      <c r="M4" s="696">
        <f>L4*$J$4</f>
        <v>0</v>
      </c>
      <c r="N4" s="606"/>
      <c r="O4" s="696">
        <f>N4*$J$4</f>
        <v>0</v>
      </c>
      <c r="P4" s="606"/>
      <c r="Q4" s="696">
        <f>P4*$J$4</f>
        <v>0</v>
      </c>
      <c r="R4" s="606"/>
      <c r="S4" s="696">
        <f>R4*$J$4</f>
        <v>0</v>
      </c>
      <c r="T4" s="606"/>
      <c r="U4" s="696">
        <f>T4*$J$4</f>
        <v>0</v>
      </c>
      <c r="V4" s="606"/>
      <c r="W4" s="696">
        <f>V4*$J$4</f>
        <v>0</v>
      </c>
      <c r="X4" s="606"/>
      <c r="Y4" s="696">
        <f>X4*$J$4</f>
        <v>0</v>
      </c>
      <c r="Z4" s="606"/>
      <c r="AA4" s="696">
        <f>Z4*$J$4</f>
        <v>0</v>
      </c>
      <c r="AB4" s="606"/>
      <c r="AC4" s="696">
        <f>AB4*$J$4</f>
        <v>0</v>
      </c>
      <c r="AD4" s="912">
        <f>AB4+Z4+X4+V4+T4+R4+P4+N4+L4</f>
        <v>0</v>
      </c>
      <c r="AE4" s="913">
        <f>AC4+AA4+Y4+W4+U4+S4+Q4+O4+M4</f>
        <v>0</v>
      </c>
      <c r="AF4" s="907">
        <f>AD4/G4</f>
        <v>0</v>
      </c>
      <c r="AG4" s="909">
        <f t="shared" ref="AG4:AG33" si="0">AD4-G4</f>
        <v>-460</v>
      </c>
      <c r="AH4" s="696">
        <f t="shared" ref="AH4:AH33" si="1">AE4-K4</f>
        <v>-102589200</v>
      </c>
    </row>
    <row r="5" spans="1:34">
      <c r="A5" s="607"/>
      <c r="B5" s="635"/>
      <c r="C5" s="605"/>
      <c r="D5" s="646"/>
      <c r="E5" s="653"/>
      <c r="F5" s="654"/>
      <c r="G5" s="673"/>
      <c r="H5" s="626"/>
      <c r="I5" s="673"/>
      <c r="J5" s="698"/>
      <c r="K5" s="647"/>
      <c r="L5" s="700"/>
      <c r="M5" s="697"/>
      <c r="N5" s="607"/>
      <c r="O5" s="697"/>
      <c r="P5" s="607"/>
      <c r="Q5" s="697"/>
      <c r="R5" s="607"/>
      <c r="S5" s="697"/>
      <c r="T5" s="607"/>
      <c r="U5" s="697"/>
      <c r="V5" s="607"/>
      <c r="W5" s="697"/>
      <c r="X5" s="607"/>
      <c r="Y5" s="697"/>
      <c r="Z5" s="607"/>
      <c r="AA5" s="697"/>
      <c r="AB5" s="607"/>
      <c r="AC5" s="697"/>
      <c r="AD5" s="912"/>
      <c r="AE5" s="912"/>
      <c r="AF5" s="908"/>
      <c r="AG5" s="910"/>
      <c r="AH5" s="697"/>
    </row>
    <row r="6" spans="1:34">
      <c r="A6" s="606">
        <v>3</v>
      </c>
      <c r="B6" s="635"/>
      <c r="C6" s="604" t="s">
        <v>146</v>
      </c>
      <c r="D6" s="645">
        <v>1600</v>
      </c>
      <c r="E6" s="650" t="s">
        <v>176</v>
      </c>
      <c r="F6" s="623" t="s">
        <v>177</v>
      </c>
      <c r="G6" s="689">
        <v>1600</v>
      </c>
      <c r="H6" s="626">
        <v>10</v>
      </c>
      <c r="I6" s="689">
        <f>G6/H6</f>
        <v>160</v>
      </c>
      <c r="J6" s="698">
        <v>175634</v>
      </c>
      <c r="K6" s="647">
        <f>J6*D6</f>
        <v>281014400</v>
      </c>
      <c r="L6" s="699">
        <v>95</v>
      </c>
      <c r="M6" s="696">
        <f>L6*$J$6</f>
        <v>16685230</v>
      </c>
      <c r="N6" s="606"/>
      <c r="O6" s="696">
        <f>N6*$J$6</f>
        <v>0</v>
      </c>
      <c r="P6" s="606"/>
      <c r="Q6" s="696">
        <f>P6*$J$6</f>
        <v>0</v>
      </c>
      <c r="R6" s="606"/>
      <c r="S6" s="696">
        <f>R6*$J$6</f>
        <v>0</v>
      </c>
      <c r="T6" s="606"/>
      <c r="U6" s="696">
        <f>T6*$J$6</f>
        <v>0</v>
      </c>
      <c r="V6" s="606"/>
      <c r="W6" s="696">
        <f>V6*$J$6</f>
        <v>0</v>
      </c>
      <c r="X6" s="606"/>
      <c r="Y6" s="696">
        <f>X6*$J$6</f>
        <v>0</v>
      </c>
      <c r="Z6" s="606"/>
      <c r="AA6" s="696">
        <f>Z6*$J$6</f>
        <v>0</v>
      </c>
      <c r="AB6" s="606"/>
      <c r="AC6" s="696">
        <f>AB6*$J$6</f>
        <v>0</v>
      </c>
      <c r="AD6" s="912">
        <f>AB6+Z6+X6+V6+T6+R6+P6+N6+L6</f>
        <v>95</v>
      </c>
      <c r="AE6" s="913">
        <f>AC6+AA6+Y6+W6+U6+S6+Q6+O6+M6</f>
        <v>16685230</v>
      </c>
      <c r="AF6" s="907">
        <f>AD6/G6</f>
        <v>5.9374999999999997E-2</v>
      </c>
      <c r="AG6" s="909">
        <f t="shared" si="0"/>
        <v>-1505</v>
      </c>
      <c r="AH6" s="696">
        <f t="shared" si="1"/>
        <v>-264329170</v>
      </c>
    </row>
    <row r="7" spans="1:34">
      <c r="A7" s="608"/>
      <c r="B7" s="641"/>
      <c r="C7" s="635"/>
      <c r="D7" s="652"/>
      <c r="E7" s="651"/>
      <c r="F7" s="624"/>
      <c r="G7" s="672"/>
      <c r="H7" s="626"/>
      <c r="I7" s="673"/>
      <c r="J7" s="698"/>
      <c r="K7" s="647"/>
      <c r="L7" s="700"/>
      <c r="M7" s="697"/>
      <c r="N7" s="607"/>
      <c r="O7" s="697"/>
      <c r="P7" s="607"/>
      <c r="Q7" s="697"/>
      <c r="R7" s="607"/>
      <c r="S7" s="697"/>
      <c r="T7" s="607"/>
      <c r="U7" s="697"/>
      <c r="V7" s="607"/>
      <c r="W7" s="697"/>
      <c r="X7" s="607"/>
      <c r="Y7" s="697"/>
      <c r="Z7" s="607"/>
      <c r="AA7" s="697"/>
      <c r="AB7" s="607"/>
      <c r="AC7" s="697"/>
      <c r="AD7" s="912"/>
      <c r="AE7" s="912"/>
      <c r="AF7" s="908"/>
      <c r="AG7" s="910"/>
      <c r="AH7" s="697"/>
    </row>
    <row r="8" spans="1:34" ht="29.25">
      <c r="A8" s="644">
        <v>4</v>
      </c>
      <c r="B8" s="638" t="s">
        <v>180</v>
      </c>
      <c r="C8" s="280" t="s">
        <v>181</v>
      </c>
      <c r="D8" s="240">
        <v>818</v>
      </c>
      <c r="E8" s="243" t="s">
        <v>182</v>
      </c>
      <c r="F8" s="248" t="s">
        <v>183</v>
      </c>
      <c r="G8" s="221">
        <v>818</v>
      </c>
      <c r="H8" s="221">
        <v>10</v>
      </c>
      <c r="I8" s="377">
        <f>G8/H8</f>
        <v>81.8</v>
      </c>
      <c r="J8" s="447">
        <v>175634</v>
      </c>
      <c r="K8" s="234">
        <f>J8*D8</f>
        <v>143668612</v>
      </c>
      <c r="L8" s="448"/>
      <c r="M8" s="452">
        <f>J8*L8</f>
        <v>0</v>
      </c>
      <c r="N8" s="206"/>
      <c r="O8" s="452">
        <f>L8*N8</f>
        <v>0</v>
      </c>
      <c r="P8" s="206"/>
      <c r="Q8" s="452">
        <f>N8*P8</f>
        <v>0</v>
      </c>
      <c r="R8" s="206"/>
      <c r="S8" s="452">
        <f>P8*R8</f>
        <v>0</v>
      </c>
      <c r="T8" s="206"/>
      <c r="U8" s="452">
        <f>R8*T8</f>
        <v>0</v>
      </c>
      <c r="V8" s="206"/>
      <c r="W8" s="452">
        <f>T8*V8</f>
        <v>0</v>
      </c>
      <c r="X8" s="206"/>
      <c r="Y8" s="452">
        <f>V8*X8</f>
        <v>0</v>
      </c>
      <c r="Z8" s="206"/>
      <c r="AA8" s="452">
        <f>X8*Z8</f>
        <v>0</v>
      </c>
      <c r="AB8" s="206"/>
      <c r="AC8" s="452">
        <f>Z8*AB8</f>
        <v>0</v>
      </c>
      <c r="AD8" s="449">
        <f>AB8+Z8+X8+V8+T8+R8+P8+N8+L8</f>
        <v>0</v>
      </c>
      <c r="AE8" s="450">
        <f>AC8+AA8+Y8+W8+U8+S8+Q8+O8+M8</f>
        <v>0</v>
      </c>
      <c r="AF8" s="451">
        <f>AD8/G8</f>
        <v>0</v>
      </c>
      <c r="AG8" s="453">
        <f t="shared" si="0"/>
        <v>-818</v>
      </c>
      <c r="AH8" s="454">
        <f t="shared" si="1"/>
        <v>-143668612</v>
      </c>
    </row>
    <row r="9" spans="1:34" ht="19.5">
      <c r="A9" s="644"/>
      <c r="B9" s="639"/>
      <c r="C9" s="280" t="s">
        <v>187</v>
      </c>
      <c r="D9" s="240">
        <v>765</v>
      </c>
      <c r="E9" s="243" t="s">
        <v>188</v>
      </c>
      <c r="F9" s="248" t="s">
        <v>189</v>
      </c>
      <c r="G9" s="221">
        <v>765</v>
      </c>
      <c r="H9" s="221">
        <v>9</v>
      </c>
      <c r="I9" s="377">
        <f>G9/H9</f>
        <v>85</v>
      </c>
      <c r="J9" s="447">
        <v>175634</v>
      </c>
      <c r="K9" s="234">
        <f>J9*D9</f>
        <v>134360010</v>
      </c>
      <c r="L9" s="448"/>
      <c r="M9" s="452">
        <f>J9*L9</f>
        <v>0</v>
      </c>
      <c r="N9" s="206"/>
      <c r="O9" s="452">
        <f>L9*N9</f>
        <v>0</v>
      </c>
      <c r="P9" s="206"/>
      <c r="Q9" s="452">
        <f>N9*P9</f>
        <v>0</v>
      </c>
      <c r="R9" s="206"/>
      <c r="S9" s="452">
        <f>P9*R9</f>
        <v>0</v>
      </c>
      <c r="T9" s="206"/>
      <c r="U9" s="452">
        <f>R9*T9</f>
        <v>0</v>
      </c>
      <c r="V9" s="206"/>
      <c r="W9" s="452">
        <f>T9*V9</f>
        <v>0</v>
      </c>
      <c r="X9" s="206"/>
      <c r="Y9" s="452">
        <f>V9*X9</f>
        <v>0</v>
      </c>
      <c r="Z9" s="206"/>
      <c r="AA9" s="452">
        <f>X9*Z9</f>
        <v>0</v>
      </c>
      <c r="AB9" s="206"/>
      <c r="AC9" s="452">
        <f>Z9*AB9</f>
        <v>0</v>
      </c>
      <c r="AD9" s="449">
        <f t="shared" ref="AD9:AE32" si="2">AB9+Z9+X9+V9+T9+R9+P9+N9+L9</f>
        <v>0</v>
      </c>
      <c r="AE9" s="449">
        <f t="shared" si="2"/>
        <v>0</v>
      </c>
      <c r="AF9" s="451">
        <f>AD9/G9</f>
        <v>0</v>
      </c>
      <c r="AG9" s="453">
        <f t="shared" si="0"/>
        <v>-765</v>
      </c>
      <c r="AH9" s="454">
        <f t="shared" si="1"/>
        <v>-134360010</v>
      </c>
    </row>
    <row r="10" spans="1:34">
      <c r="A10" s="608">
        <v>5</v>
      </c>
      <c r="B10" s="639"/>
      <c r="C10" s="633" t="s">
        <v>58</v>
      </c>
      <c r="D10" s="652">
        <v>1142</v>
      </c>
      <c r="E10" s="651" t="s">
        <v>191</v>
      </c>
      <c r="F10" s="623" t="s">
        <v>192</v>
      </c>
      <c r="G10" s="672">
        <v>1142</v>
      </c>
      <c r="H10" s="626">
        <v>10</v>
      </c>
      <c r="I10" s="689">
        <f>G10/H10</f>
        <v>114.2</v>
      </c>
      <c r="J10" s="698">
        <v>175634</v>
      </c>
      <c r="K10" s="647">
        <f>J10*D10</f>
        <v>200574028</v>
      </c>
      <c r="L10" s="699"/>
      <c r="M10" s="696">
        <f>L10*$J$10</f>
        <v>0</v>
      </c>
      <c r="N10" s="606"/>
      <c r="O10" s="696">
        <f>N10*$J$10</f>
        <v>0</v>
      </c>
      <c r="P10" s="606"/>
      <c r="Q10" s="696">
        <f>P10*$J$10</f>
        <v>0</v>
      </c>
      <c r="R10" s="606"/>
      <c r="S10" s="696">
        <f>R10*$J$10</f>
        <v>0</v>
      </c>
      <c r="T10" s="606"/>
      <c r="U10" s="696">
        <f>T10*$J$10</f>
        <v>0</v>
      </c>
      <c r="V10" s="606"/>
      <c r="W10" s="696">
        <f>V10*$J$10</f>
        <v>0</v>
      </c>
      <c r="X10" s="606"/>
      <c r="Y10" s="696">
        <f>X10*$J$10</f>
        <v>0</v>
      </c>
      <c r="Z10" s="606"/>
      <c r="AA10" s="696">
        <f>Z10*$J$10</f>
        <v>0</v>
      </c>
      <c r="AB10" s="606"/>
      <c r="AC10" s="696">
        <f>AB10*$J$10</f>
        <v>0</v>
      </c>
      <c r="AD10" s="915">
        <f t="shared" si="2"/>
        <v>0</v>
      </c>
      <c r="AE10" s="915">
        <f t="shared" si="2"/>
        <v>0</v>
      </c>
      <c r="AF10" s="907">
        <f>AD10/G10</f>
        <v>0</v>
      </c>
      <c r="AG10" s="909">
        <f>AD10-G10</f>
        <v>-1142</v>
      </c>
      <c r="AH10" s="696">
        <f t="shared" si="1"/>
        <v>-200574028</v>
      </c>
    </row>
    <row r="11" spans="1:34">
      <c r="A11" s="607"/>
      <c r="B11" s="639"/>
      <c r="C11" s="634"/>
      <c r="D11" s="652"/>
      <c r="E11" s="653"/>
      <c r="F11" s="624"/>
      <c r="G11" s="673"/>
      <c r="H11" s="626"/>
      <c r="I11" s="673"/>
      <c r="J11" s="698"/>
      <c r="K11" s="647"/>
      <c r="L11" s="700"/>
      <c r="M11" s="697"/>
      <c r="N11" s="607"/>
      <c r="O11" s="697"/>
      <c r="P11" s="607"/>
      <c r="Q11" s="697"/>
      <c r="R11" s="607"/>
      <c r="S11" s="697"/>
      <c r="T11" s="607"/>
      <c r="U11" s="697"/>
      <c r="V11" s="607"/>
      <c r="W11" s="697"/>
      <c r="X11" s="607"/>
      <c r="Y11" s="697"/>
      <c r="Z11" s="607"/>
      <c r="AA11" s="697"/>
      <c r="AB11" s="607"/>
      <c r="AC11" s="697"/>
      <c r="AD11" s="916"/>
      <c r="AE11" s="916"/>
      <c r="AF11" s="908"/>
      <c r="AG11" s="910"/>
      <c r="AH11" s="697"/>
    </row>
    <row r="12" spans="1:34" ht="19.5">
      <c r="A12" s="643">
        <v>6</v>
      </c>
      <c r="B12" s="639"/>
      <c r="C12" s="637" t="s">
        <v>66</v>
      </c>
      <c r="D12" s="676">
        <v>4300</v>
      </c>
      <c r="E12" s="242" t="s">
        <v>193</v>
      </c>
      <c r="F12" s="248" t="s">
        <v>194</v>
      </c>
      <c r="G12" s="224">
        <f>200+40</f>
        <v>240</v>
      </c>
      <c r="H12" s="256">
        <v>3</v>
      </c>
      <c r="I12" s="225">
        <f t="shared" ref="I12:I20" si="3">G12/H12</f>
        <v>80</v>
      </c>
      <c r="J12" s="698">
        <v>175634</v>
      </c>
      <c r="K12" s="647">
        <f>J12*D12</f>
        <v>755226200</v>
      </c>
      <c r="L12" s="455"/>
      <c r="M12" s="452">
        <f>J12*$L$12</f>
        <v>0</v>
      </c>
      <c r="N12" s="259"/>
      <c r="O12" s="452">
        <f>L12*$L$12</f>
        <v>0</v>
      </c>
      <c r="P12" s="259"/>
      <c r="Q12" s="452">
        <f>N12*$L$12</f>
        <v>0</v>
      </c>
      <c r="R12" s="259"/>
      <c r="S12" s="452">
        <f>P12*$L$12</f>
        <v>0</v>
      </c>
      <c r="T12" s="259"/>
      <c r="U12" s="452">
        <f>R12*$L$12</f>
        <v>0</v>
      </c>
      <c r="V12" s="259"/>
      <c r="W12" s="452">
        <f>T12*$L$12</f>
        <v>0</v>
      </c>
      <c r="X12" s="259"/>
      <c r="Y12" s="452">
        <f>V12*$L$12</f>
        <v>0</v>
      </c>
      <c r="Z12" s="259"/>
      <c r="AA12" s="452">
        <f>X12*$L$12</f>
        <v>0</v>
      </c>
      <c r="AB12" s="259"/>
      <c r="AC12" s="452">
        <f>Z12*$L$12</f>
        <v>0</v>
      </c>
      <c r="AD12" s="449">
        <f t="shared" si="2"/>
        <v>0</v>
      </c>
      <c r="AE12" s="449">
        <f t="shared" si="2"/>
        <v>0</v>
      </c>
      <c r="AF12" s="451">
        <f t="shared" ref="AF12:AF34" si="4">AD12/G12</f>
        <v>0</v>
      </c>
      <c r="AG12" s="453">
        <f t="shared" si="0"/>
        <v>-240</v>
      </c>
      <c r="AH12" s="696">
        <f>(AE12+AE13+AE14+AE15+AE16+AE17+AE18)-K12</f>
        <v>-755226200</v>
      </c>
    </row>
    <row r="13" spans="1:34">
      <c r="A13" s="643"/>
      <c r="B13" s="639"/>
      <c r="C13" s="637"/>
      <c r="D13" s="676"/>
      <c r="E13" s="244" t="s">
        <v>198</v>
      </c>
      <c r="F13" s="248" t="s">
        <v>199</v>
      </c>
      <c r="G13" s="225">
        <f>480+60</f>
        <v>540</v>
      </c>
      <c r="H13" s="256">
        <v>5</v>
      </c>
      <c r="I13" s="225">
        <f t="shared" si="3"/>
        <v>108</v>
      </c>
      <c r="J13" s="698"/>
      <c r="K13" s="647"/>
      <c r="L13" s="455"/>
      <c r="M13" s="452">
        <f>L13*J12</f>
        <v>0</v>
      </c>
      <c r="N13" s="259"/>
      <c r="O13" s="452">
        <f>N13*L12</f>
        <v>0</v>
      </c>
      <c r="P13" s="259"/>
      <c r="Q13" s="452">
        <f>P13*N12</f>
        <v>0</v>
      </c>
      <c r="R13" s="259"/>
      <c r="S13" s="452">
        <f>R13*P12</f>
        <v>0</v>
      </c>
      <c r="T13" s="259"/>
      <c r="U13" s="452">
        <f>T13*R12</f>
        <v>0</v>
      </c>
      <c r="V13" s="259"/>
      <c r="W13" s="452">
        <f>V13*T12</f>
        <v>0</v>
      </c>
      <c r="X13" s="259"/>
      <c r="Y13" s="452">
        <f>X13*V12</f>
        <v>0</v>
      </c>
      <c r="Z13" s="259"/>
      <c r="AA13" s="452">
        <f>Z13*X12</f>
        <v>0</v>
      </c>
      <c r="AB13" s="259"/>
      <c r="AC13" s="452">
        <f>AB13*Z12</f>
        <v>0</v>
      </c>
      <c r="AD13" s="449">
        <f t="shared" si="2"/>
        <v>0</v>
      </c>
      <c r="AE13" s="449">
        <f t="shared" si="2"/>
        <v>0</v>
      </c>
      <c r="AF13" s="451">
        <f t="shared" si="4"/>
        <v>0</v>
      </c>
      <c r="AG13" s="453">
        <f t="shared" si="0"/>
        <v>-540</v>
      </c>
      <c r="AH13" s="914"/>
    </row>
    <row r="14" spans="1:34" ht="29.25">
      <c r="A14" s="643"/>
      <c r="B14" s="639"/>
      <c r="C14" s="637"/>
      <c r="D14" s="676"/>
      <c r="E14" s="244" t="s">
        <v>201</v>
      </c>
      <c r="F14" s="248" t="s">
        <v>202</v>
      </c>
      <c r="G14" s="225">
        <f>762+84</f>
        <v>846</v>
      </c>
      <c r="H14" s="256">
        <v>6</v>
      </c>
      <c r="I14" s="225">
        <f t="shared" si="3"/>
        <v>141</v>
      </c>
      <c r="J14" s="698"/>
      <c r="K14" s="647"/>
      <c r="L14" s="455"/>
      <c r="M14" s="452">
        <f>L14*$J$12</f>
        <v>0</v>
      </c>
      <c r="N14" s="259"/>
      <c r="O14" s="452">
        <f>N14*$J$12</f>
        <v>0</v>
      </c>
      <c r="P14" s="259"/>
      <c r="Q14" s="452">
        <f>P14*$J$12</f>
        <v>0</v>
      </c>
      <c r="R14" s="259"/>
      <c r="S14" s="452">
        <f>R14*$J$12</f>
        <v>0</v>
      </c>
      <c r="T14" s="259"/>
      <c r="U14" s="452">
        <f>T14*$J$12</f>
        <v>0</v>
      </c>
      <c r="V14" s="259"/>
      <c r="W14" s="452">
        <f>V14*$J$12</f>
        <v>0</v>
      </c>
      <c r="X14" s="259"/>
      <c r="Y14" s="452">
        <f>X14*$J$12</f>
        <v>0</v>
      </c>
      <c r="Z14" s="259"/>
      <c r="AA14" s="452">
        <f>Z14*$J$12</f>
        <v>0</v>
      </c>
      <c r="AB14" s="259"/>
      <c r="AC14" s="452">
        <f>AB14*$J$12</f>
        <v>0</v>
      </c>
      <c r="AD14" s="449">
        <f t="shared" si="2"/>
        <v>0</v>
      </c>
      <c r="AE14" s="449">
        <f t="shared" si="2"/>
        <v>0</v>
      </c>
      <c r="AF14" s="451">
        <f t="shared" si="4"/>
        <v>0</v>
      </c>
      <c r="AG14" s="453">
        <f>AD14-G14</f>
        <v>-846</v>
      </c>
      <c r="AH14" s="914"/>
    </row>
    <row r="15" spans="1:34">
      <c r="A15" s="643"/>
      <c r="B15" s="639"/>
      <c r="C15" s="637"/>
      <c r="D15" s="676"/>
      <c r="E15" s="244" t="s">
        <v>204</v>
      </c>
      <c r="F15" s="248" t="s">
        <v>205</v>
      </c>
      <c r="G15" s="225">
        <v>128</v>
      </c>
      <c r="H15" s="256">
        <v>3</v>
      </c>
      <c r="I15" s="456">
        <f t="shared" si="3"/>
        <v>42.666666666666664</v>
      </c>
      <c r="J15" s="698"/>
      <c r="K15" s="647"/>
      <c r="L15" s="457"/>
      <c r="M15" s="452">
        <f>L15*$J$12</f>
        <v>0</v>
      </c>
      <c r="N15" s="260"/>
      <c r="O15" s="452">
        <f>N15*$J$12</f>
        <v>0</v>
      </c>
      <c r="P15" s="260"/>
      <c r="Q15" s="452">
        <f>P15*$J$12</f>
        <v>0</v>
      </c>
      <c r="R15" s="260"/>
      <c r="S15" s="452">
        <f>R15*$J$12</f>
        <v>0</v>
      </c>
      <c r="T15" s="260"/>
      <c r="U15" s="452">
        <f>T15*$J$12</f>
        <v>0</v>
      </c>
      <c r="V15" s="260"/>
      <c r="W15" s="452">
        <f>V15*$J$12</f>
        <v>0</v>
      </c>
      <c r="X15" s="260"/>
      <c r="Y15" s="452">
        <f>X15*$J$12</f>
        <v>0</v>
      </c>
      <c r="Z15" s="260"/>
      <c r="AA15" s="452">
        <f>Z15*$J$12</f>
        <v>0</v>
      </c>
      <c r="AB15" s="260"/>
      <c r="AC15" s="452">
        <f>AB15*$J$12</f>
        <v>0</v>
      </c>
      <c r="AD15" s="449">
        <f t="shared" si="2"/>
        <v>0</v>
      </c>
      <c r="AE15" s="449">
        <f t="shared" si="2"/>
        <v>0</v>
      </c>
      <c r="AF15" s="451">
        <f t="shared" si="4"/>
        <v>0</v>
      </c>
      <c r="AG15" s="453">
        <f t="shared" si="0"/>
        <v>-128</v>
      </c>
      <c r="AH15" s="914"/>
    </row>
    <row r="16" spans="1:34" ht="19.5">
      <c r="A16" s="643"/>
      <c r="B16" s="639"/>
      <c r="C16" s="637"/>
      <c r="D16" s="676"/>
      <c r="E16" s="244" t="s">
        <v>207</v>
      </c>
      <c r="F16" s="248" t="s">
        <v>208</v>
      </c>
      <c r="G16" s="225">
        <f>480+30</f>
        <v>510</v>
      </c>
      <c r="H16" s="256">
        <v>5</v>
      </c>
      <c r="I16" s="225">
        <f t="shared" si="3"/>
        <v>102</v>
      </c>
      <c r="J16" s="698"/>
      <c r="K16" s="647"/>
      <c r="L16" s="455"/>
      <c r="M16" s="452">
        <f>L16*$J$12</f>
        <v>0</v>
      </c>
      <c r="N16" s="259"/>
      <c r="O16" s="452">
        <f>N16*$J$12</f>
        <v>0</v>
      </c>
      <c r="P16" s="259"/>
      <c r="Q16" s="452">
        <f>P16*$J$12</f>
        <v>0</v>
      </c>
      <c r="R16" s="259"/>
      <c r="S16" s="452">
        <f>R16*$J$12</f>
        <v>0</v>
      </c>
      <c r="T16" s="259"/>
      <c r="U16" s="452">
        <f>T16*$J$12</f>
        <v>0</v>
      </c>
      <c r="V16" s="259"/>
      <c r="W16" s="452">
        <f>V16*$J$12</f>
        <v>0</v>
      </c>
      <c r="X16" s="259"/>
      <c r="Y16" s="452">
        <f>X16*$J$12</f>
        <v>0</v>
      </c>
      <c r="Z16" s="259"/>
      <c r="AA16" s="452">
        <f>Z16*$J$12</f>
        <v>0</v>
      </c>
      <c r="AB16" s="259"/>
      <c r="AC16" s="452">
        <f>AB16*$J$12</f>
        <v>0</v>
      </c>
      <c r="AD16" s="449">
        <f t="shared" si="2"/>
        <v>0</v>
      </c>
      <c r="AE16" s="449">
        <f t="shared" si="2"/>
        <v>0</v>
      </c>
      <c r="AF16" s="451">
        <f t="shared" si="4"/>
        <v>0</v>
      </c>
      <c r="AG16" s="453">
        <f t="shared" si="0"/>
        <v>-510</v>
      </c>
      <c r="AH16" s="914"/>
    </row>
    <row r="17" spans="1:34" ht="19.5">
      <c r="A17" s="643"/>
      <c r="B17" s="639"/>
      <c r="C17" s="637"/>
      <c r="D17" s="676"/>
      <c r="E17" s="244" t="s">
        <v>209</v>
      </c>
      <c r="F17" s="248" t="s">
        <v>210</v>
      </c>
      <c r="G17" s="225">
        <f>782+72</f>
        <v>854</v>
      </c>
      <c r="H17" s="256">
        <v>8</v>
      </c>
      <c r="I17" s="456">
        <f t="shared" si="3"/>
        <v>106.75</v>
      </c>
      <c r="J17" s="698"/>
      <c r="K17" s="647"/>
      <c r="L17" s="457"/>
      <c r="M17" s="452">
        <f>L17*$J$12</f>
        <v>0</v>
      </c>
      <c r="N17" s="260"/>
      <c r="O17" s="452">
        <f>N17*$J$12</f>
        <v>0</v>
      </c>
      <c r="P17" s="260"/>
      <c r="Q17" s="452">
        <f>P17*$J$12</f>
        <v>0</v>
      </c>
      <c r="R17" s="260"/>
      <c r="S17" s="452">
        <f>R17*$J$12</f>
        <v>0</v>
      </c>
      <c r="T17" s="260"/>
      <c r="U17" s="452">
        <f>T17*$J$12</f>
        <v>0</v>
      </c>
      <c r="V17" s="260"/>
      <c r="W17" s="452">
        <f>V17*$J$12</f>
        <v>0</v>
      </c>
      <c r="X17" s="260"/>
      <c r="Y17" s="452">
        <f>X17*$J$12</f>
        <v>0</v>
      </c>
      <c r="Z17" s="260"/>
      <c r="AA17" s="452">
        <f>Z17*$J$12</f>
        <v>0</v>
      </c>
      <c r="AB17" s="260"/>
      <c r="AC17" s="452">
        <f>AB17*$J$12</f>
        <v>0</v>
      </c>
      <c r="AD17" s="449">
        <f t="shared" si="2"/>
        <v>0</v>
      </c>
      <c r="AE17" s="449">
        <f t="shared" si="2"/>
        <v>0</v>
      </c>
      <c r="AF17" s="451">
        <f t="shared" si="4"/>
        <v>0</v>
      </c>
      <c r="AG17" s="453">
        <f t="shared" si="0"/>
        <v>-854</v>
      </c>
      <c r="AH17" s="914"/>
    </row>
    <row r="18" spans="1:34">
      <c r="A18" s="606"/>
      <c r="B18" s="639"/>
      <c r="C18" s="616"/>
      <c r="D18" s="676"/>
      <c r="E18" s="244" t="s">
        <v>214</v>
      </c>
      <c r="F18" s="248" t="s">
        <v>215</v>
      </c>
      <c r="G18" s="235">
        <f>1182</f>
        <v>1182</v>
      </c>
      <c r="H18" s="256">
        <v>20</v>
      </c>
      <c r="I18" s="225">
        <f t="shared" si="3"/>
        <v>59.1</v>
      </c>
      <c r="J18" s="698"/>
      <c r="K18" s="647"/>
      <c r="L18" s="455"/>
      <c r="M18" s="452">
        <f>L18*$J$12</f>
        <v>0</v>
      </c>
      <c r="N18" s="259"/>
      <c r="O18" s="452">
        <f>N18*$J$12</f>
        <v>0</v>
      </c>
      <c r="P18" s="259"/>
      <c r="Q18" s="452">
        <f>P18*$J$12</f>
        <v>0</v>
      </c>
      <c r="R18" s="259"/>
      <c r="S18" s="452">
        <f>R18*$J$12</f>
        <v>0</v>
      </c>
      <c r="T18" s="259"/>
      <c r="U18" s="452">
        <f>T18*$J$12</f>
        <v>0</v>
      </c>
      <c r="V18" s="259"/>
      <c r="W18" s="452">
        <f>V18*$J$12</f>
        <v>0</v>
      </c>
      <c r="X18" s="259"/>
      <c r="Y18" s="452">
        <f>X18*$J$12</f>
        <v>0</v>
      </c>
      <c r="Z18" s="259"/>
      <c r="AA18" s="452">
        <f>Z18*$J$12</f>
        <v>0</v>
      </c>
      <c r="AB18" s="259"/>
      <c r="AC18" s="452">
        <f>AB18*$J$12</f>
        <v>0</v>
      </c>
      <c r="AD18" s="449">
        <f t="shared" si="2"/>
        <v>0</v>
      </c>
      <c r="AE18" s="449">
        <f t="shared" si="2"/>
        <v>0</v>
      </c>
      <c r="AF18" s="451">
        <f t="shared" si="4"/>
        <v>0</v>
      </c>
      <c r="AG18" s="453">
        <f t="shared" si="0"/>
        <v>-1182</v>
      </c>
      <c r="AH18" s="697"/>
    </row>
    <row r="19" spans="1:34">
      <c r="A19" s="642">
        <v>7</v>
      </c>
      <c r="B19" s="639"/>
      <c r="C19" s="636" t="s">
        <v>217</v>
      </c>
      <c r="D19" s="677">
        <v>1908</v>
      </c>
      <c r="E19" s="244" t="s">
        <v>218</v>
      </c>
      <c r="F19" s="249" t="s">
        <v>219</v>
      </c>
      <c r="G19" s="215">
        <v>1044</v>
      </c>
      <c r="H19" s="237">
        <v>13</v>
      </c>
      <c r="I19" s="458">
        <f t="shared" si="3"/>
        <v>80.307692307692307</v>
      </c>
      <c r="J19" s="707">
        <v>175634</v>
      </c>
      <c r="K19" s="707">
        <f>J19*D19</f>
        <v>335109672</v>
      </c>
      <c r="L19" s="459"/>
      <c r="M19" s="460">
        <f>L19*$J$19</f>
        <v>0</v>
      </c>
      <c r="N19" s="261"/>
      <c r="O19" s="460">
        <f>N19*$J$19</f>
        <v>0</v>
      </c>
      <c r="P19" s="261"/>
      <c r="Q19" s="460">
        <f>P19*$J$19</f>
        <v>0</v>
      </c>
      <c r="R19" s="261"/>
      <c r="S19" s="460">
        <f>R19*$J$19</f>
        <v>0</v>
      </c>
      <c r="T19" s="261"/>
      <c r="U19" s="460">
        <f>T19*$J$19</f>
        <v>0</v>
      </c>
      <c r="V19" s="261"/>
      <c r="W19" s="460">
        <f>V19*$J$19</f>
        <v>0</v>
      </c>
      <c r="X19" s="261"/>
      <c r="Y19" s="460">
        <f>X19*$J$19</f>
        <v>0</v>
      </c>
      <c r="Z19" s="261"/>
      <c r="AA19" s="460">
        <f>Z19*$J$19</f>
        <v>0</v>
      </c>
      <c r="AB19" s="261"/>
      <c r="AC19" s="460">
        <f>AB19*$J$19</f>
        <v>0</v>
      </c>
      <c r="AD19" s="449">
        <f t="shared" si="2"/>
        <v>0</v>
      </c>
      <c r="AE19" s="449">
        <f t="shared" si="2"/>
        <v>0</v>
      </c>
      <c r="AF19" s="451">
        <f t="shared" si="4"/>
        <v>0</v>
      </c>
      <c r="AG19" s="453">
        <f t="shared" si="0"/>
        <v>-1044</v>
      </c>
      <c r="AH19" s="696">
        <f>(AE19+AE20+AE22+AE23)-K19</f>
        <v>-335109672</v>
      </c>
    </row>
    <row r="20" spans="1:34">
      <c r="A20" s="642"/>
      <c r="B20" s="639"/>
      <c r="C20" s="636"/>
      <c r="D20" s="677"/>
      <c r="E20" s="244" t="s">
        <v>221</v>
      </c>
      <c r="F20" s="249" t="s">
        <v>222</v>
      </c>
      <c r="G20" s="674">
        <v>192</v>
      </c>
      <c r="H20" s="679">
        <v>2</v>
      </c>
      <c r="I20" s="701">
        <f t="shared" si="3"/>
        <v>96</v>
      </c>
      <c r="J20" s="707"/>
      <c r="K20" s="707"/>
      <c r="L20" s="703"/>
      <c r="M20" s="705">
        <f>L20*$J$19</f>
        <v>0</v>
      </c>
      <c r="N20" s="666"/>
      <c r="O20" s="705">
        <f>N20*$J$19</f>
        <v>0</v>
      </c>
      <c r="P20" s="666"/>
      <c r="Q20" s="705">
        <f>P20*$J$19</f>
        <v>0</v>
      </c>
      <c r="R20" s="666"/>
      <c r="S20" s="705">
        <f>R20*$J$19</f>
        <v>0</v>
      </c>
      <c r="T20" s="666"/>
      <c r="U20" s="705">
        <f>T20*$J$19</f>
        <v>0</v>
      </c>
      <c r="V20" s="666"/>
      <c r="W20" s="705">
        <f>V20*$J$19</f>
        <v>0</v>
      </c>
      <c r="X20" s="666"/>
      <c r="Y20" s="705">
        <f>X20*$J$19</f>
        <v>0</v>
      </c>
      <c r="Z20" s="666"/>
      <c r="AA20" s="705">
        <f>Z20*$J$19</f>
        <v>0</v>
      </c>
      <c r="AB20" s="666"/>
      <c r="AC20" s="705">
        <f>AB20*$J$19</f>
        <v>0</v>
      </c>
      <c r="AD20" s="915">
        <f t="shared" si="2"/>
        <v>0</v>
      </c>
      <c r="AE20" s="915">
        <f t="shared" si="2"/>
        <v>0</v>
      </c>
      <c r="AF20" s="907">
        <f>AD20/G20</f>
        <v>0</v>
      </c>
      <c r="AG20" s="909">
        <f t="shared" si="0"/>
        <v>-192</v>
      </c>
      <c r="AH20" s="914"/>
    </row>
    <row r="21" spans="1:34">
      <c r="A21" s="642"/>
      <c r="B21" s="639"/>
      <c r="C21" s="636"/>
      <c r="D21" s="677"/>
      <c r="E21" s="244" t="s">
        <v>224</v>
      </c>
      <c r="F21" s="249" t="s">
        <v>225</v>
      </c>
      <c r="G21" s="675"/>
      <c r="H21" s="680"/>
      <c r="I21" s="702"/>
      <c r="J21" s="707"/>
      <c r="K21" s="707"/>
      <c r="L21" s="704"/>
      <c r="M21" s="706"/>
      <c r="N21" s="667"/>
      <c r="O21" s="706"/>
      <c r="P21" s="667"/>
      <c r="Q21" s="706"/>
      <c r="R21" s="667"/>
      <c r="S21" s="706"/>
      <c r="T21" s="667"/>
      <c r="U21" s="706"/>
      <c r="V21" s="667"/>
      <c r="W21" s="706"/>
      <c r="X21" s="667"/>
      <c r="Y21" s="706"/>
      <c r="Z21" s="667"/>
      <c r="AA21" s="706"/>
      <c r="AB21" s="667"/>
      <c r="AC21" s="706"/>
      <c r="AD21" s="916"/>
      <c r="AE21" s="916"/>
      <c r="AF21" s="908"/>
      <c r="AG21" s="910"/>
      <c r="AH21" s="914"/>
    </row>
    <row r="22" spans="1:34">
      <c r="A22" s="642"/>
      <c r="B22" s="639"/>
      <c r="C22" s="636"/>
      <c r="D22" s="677"/>
      <c r="E22" s="244" t="s">
        <v>227</v>
      </c>
      <c r="F22" s="249" t="s">
        <v>228</v>
      </c>
      <c r="G22" s="215">
        <v>336</v>
      </c>
      <c r="H22" s="219">
        <v>3</v>
      </c>
      <c r="I22" s="276">
        <f>G22/H22</f>
        <v>112</v>
      </c>
      <c r="J22" s="707"/>
      <c r="K22" s="707"/>
      <c r="L22" s="461"/>
      <c r="M22" s="460">
        <f>L22*$J$19</f>
        <v>0</v>
      </c>
      <c r="N22" s="262"/>
      <c r="O22" s="460">
        <f>N22*$J$19</f>
        <v>0</v>
      </c>
      <c r="P22" s="262"/>
      <c r="Q22" s="460">
        <f>P22*$J$19</f>
        <v>0</v>
      </c>
      <c r="R22" s="262"/>
      <c r="S22" s="460">
        <f>R22*$J$19</f>
        <v>0</v>
      </c>
      <c r="T22" s="262"/>
      <c r="U22" s="460">
        <f>T22*$J$19</f>
        <v>0</v>
      </c>
      <c r="V22" s="262"/>
      <c r="W22" s="460">
        <f>V22*$J$19</f>
        <v>0</v>
      </c>
      <c r="X22" s="262"/>
      <c r="Y22" s="460">
        <f>X22*$J$19</f>
        <v>0</v>
      </c>
      <c r="Z22" s="262"/>
      <c r="AA22" s="460">
        <f>Z22*$J$19</f>
        <v>0</v>
      </c>
      <c r="AB22" s="262"/>
      <c r="AC22" s="460">
        <f>AB22*$J$19</f>
        <v>0</v>
      </c>
      <c r="AD22" s="449">
        <f t="shared" si="2"/>
        <v>0</v>
      </c>
      <c r="AE22" s="449">
        <f t="shared" si="2"/>
        <v>0</v>
      </c>
      <c r="AF22" s="451">
        <f t="shared" si="4"/>
        <v>0</v>
      </c>
      <c r="AG22" s="453">
        <f t="shared" si="0"/>
        <v>-336</v>
      </c>
      <c r="AH22" s="914"/>
    </row>
    <row r="23" spans="1:34">
      <c r="A23" s="642"/>
      <c r="B23" s="639"/>
      <c r="C23" s="636"/>
      <c r="D23" s="678"/>
      <c r="E23" s="244" t="s">
        <v>230</v>
      </c>
      <c r="F23" s="249" t="s">
        <v>231</v>
      </c>
      <c r="G23" s="215">
        <v>336</v>
      </c>
      <c r="H23" s="220">
        <v>3</v>
      </c>
      <c r="I23" s="276">
        <f>G23/H23</f>
        <v>112</v>
      </c>
      <c r="J23" s="707"/>
      <c r="K23" s="707"/>
      <c r="L23" s="461"/>
      <c r="M23" s="460">
        <f>L23*$J$19</f>
        <v>0</v>
      </c>
      <c r="N23" s="262"/>
      <c r="O23" s="460">
        <f>N23*$J$19</f>
        <v>0</v>
      </c>
      <c r="P23" s="262"/>
      <c r="Q23" s="460">
        <f>P23*$J$19</f>
        <v>0</v>
      </c>
      <c r="R23" s="262"/>
      <c r="S23" s="460">
        <f>R23*$J$19</f>
        <v>0</v>
      </c>
      <c r="T23" s="262"/>
      <c r="U23" s="460">
        <f>T23*$J$19</f>
        <v>0</v>
      </c>
      <c r="V23" s="262"/>
      <c r="W23" s="460">
        <f>V23*$J$19</f>
        <v>0</v>
      </c>
      <c r="X23" s="262"/>
      <c r="Y23" s="460">
        <f>X23*$J$19</f>
        <v>0</v>
      </c>
      <c r="Z23" s="262"/>
      <c r="AA23" s="460">
        <f>Z23*$J$19</f>
        <v>0</v>
      </c>
      <c r="AB23" s="262"/>
      <c r="AC23" s="460">
        <f>AB23*$J$19</f>
        <v>0</v>
      </c>
      <c r="AD23" s="449">
        <f t="shared" si="2"/>
        <v>0</v>
      </c>
      <c r="AE23" s="449">
        <f t="shared" si="2"/>
        <v>0</v>
      </c>
      <c r="AF23" s="451">
        <f t="shared" si="4"/>
        <v>0</v>
      </c>
      <c r="AG23" s="453">
        <f t="shared" si="0"/>
        <v>-336</v>
      </c>
      <c r="AH23" s="697"/>
    </row>
    <row r="24" spans="1:34">
      <c r="A24" s="608">
        <v>8</v>
      </c>
      <c r="B24" s="639"/>
      <c r="C24" s="617" t="s">
        <v>233</v>
      </c>
      <c r="D24" s="645">
        <v>364</v>
      </c>
      <c r="E24" s="245" t="s">
        <v>234</v>
      </c>
      <c r="F24" s="623" t="s">
        <v>235</v>
      </c>
      <c r="G24" s="669">
        <v>364</v>
      </c>
      <c r="H24" s="226">
        <v>2</v>
      </c>
      <c r="I24" s="462">
        <v>60.6666666666667</v>
      </c>
      <c r="J24" s="698">
        <v>175634</v>
      </c>
      <c r="K24" s="647">
        <f>J24*D24</f>
        <v>63930776</v>
      </c>
      <c r="L24" s="463"/>
      <c r="M24" s="452">
        <f>L24*$J$24</f>
        <v>0</v>
      </c>
      <c r="N24" s="263"/>
      <c r="O24" s="452">
        <f>N24*$J$24</f>
        <v>0</v>
      </c>
      <c r="P24" s="263"/>
      <c r="Q24" s="452">
        <f>P24*$J$24</f>
        <v>0</v>
      </c>
      <c r="R24" s="263"/>
      <c r="S24" s="452">
        <f>R24*$J$24</f>
        <v>0</v>
      </c>
      <c r="T24" s="263"/>
      <c r="U24" s="452">
        <f>T24*$J$24</f>
        <v>0</v>
      </c>
      <c r="V24" s="263"/>
      <c r="W24" s="452">
        <f>V24*$J$24</f>
        <v>0</v>
      </c>
      <c r="X24" s="263"/>
      <c r="Y24" s="452">
        <f>X24*$J$24</f>
        <v>0</v>
      </c>
      <c r="Z24" s="263"/>
      <c r="AA24" s="452">
        <f>Z24*$J$24</f>
        <v>0</v>
      </c>
      <c r="AB24" s="263"/>
      <c r="AC24" s="452">
        <f>AB24*$J$24</f>
        <v>0</v>
      </c>
      <c r="AD24" s="449">
        <f t="shared" si="2"/>
        <v>0</v>
      </c>
      <c r="AE24" s="449">
        <f t="shared" si="2"/>
        <v>0</v>
      </c>
      <c r="AF24" s="907">
        <f>(AD24+AD25+AD26)/G24</f>
        <v>0</v>
      </c>
      <c r="AG24" s="907">
        <f>(AC24+AC25+AC26)/H24</f>
        <v>0</v>
      </c>
      <c r="AH24" s="696">
        <f>(AE24+AE25+AE26)-K24</f>
        <v>-63930776</v>
      </c>
    </row>
    <row r="25" spans="1:34" ht="19.5">
      <c r="A25" s="608"/>
      <c r="B25" s="639"/>
      <c r="C25" s="617"/>
      <c r="D25" s="652"/>
      <c r="E25" s="245" t="s">
        <v>237</v>
      </c>
      <c r="F25" s="625"/>
      <c r="G25" s="670"/>
      <c r="H25" s="226">
        <v>2</v>
      </c>
      <c r="I25" s="462">
        <f>G24/6</f>
        <v>60.666666666666664</v>
      </c>
      <c r="J25" s="698"/>
      <c r="K25" s="647"/>
      <c r="L25" s="463"/>
      <c r="M25" s="452">
        <f>L25*$J$24</f>
        <v>0</v>
      </c>
      <c r="N25" s="263"/>
      <c r="O25" s="452">
        <f>N25*$J$24</f>
        <v>0</v>
      </c>
      <c r="P25" s="263"/>
      <c r="Q25" s="452">
        <f>P25*$J$24</f>
        <v>0</v>
      </c>
      <c r="R25" s="263"/>
      <c r="S25" s="452">
        <f>R25*$J$24</f>
        <v>0</v>
      </c>
      <c r="T25" s="263"/>
      <c r="U25" s="452">
        <f>T25*$J$24</f>
        <v>0</v>
      </c>
      <c r="V25" s="263"/>
      <c r="W25" s="452">
        <f>V25*$J$24</f>
        <v>0</v>
      </c>
      <c r="X25" s="263"/>
      <c r="Y25" s="452">
        <f>X25*$J$24</f>
        <v>0</v>
      </c>
      <c r="Z25" s="263"/>
      <c r="AA25" s="452">
        <f>Z25*$J$24</f>
        <v>0</v>
      </c>
      <c r="AB25" s="263"/>
      <c r="AC25" s="452">
        <f>AB25*$J$24</f>
        <v>0</v>
      </c>
      <c r="AD25" s="449">
        <f t="shared" si="2"/>
        <v>0</v>
      </c>
      <c r="AE25" s="449">
        <f t="shared" si="2"/>
        <v>0</v>
      </c>
      <c r="AF25" s="917"/>
      <c r="AG25" s="917"/>
      <c r="AH25" s="914"/>
    </row>
    <row r="26" spans="1:34">
      <c r="A26" s="607"/>
      <c r="B26" s="639"/>
      <c r="C26" s="618"/>
      <c r="D26" s="646"/>
      <c r="E26" s="245" t="s">
        <v>238</v>
      </c>
      <c r="F26" s="624"/>
      <c r="G26" s="671"/>
      <c r="H26" s="227">
        <v>2</v>
      </c>
      <c r="I26" s="462">
        <f>I25</f>
        <v>60.666666666666664</v>
      </c>
      <c r="J26" s="698"/>
      <c r="K26" s="647"/>
      <c r="L26" s="463"/>
      <c r="M26" s="452">
        <f>L26*$J$24</f>
        <v>0</v>
      </c>
      <c r="N26" s="263"/>
      <c r="O26" s="452">
        <f>N26*$J$24</f>
        <v>0</v>
      </c>
      <c r="P26" s="263"/>
      <c r="Q26" s="452">
        <f>P26*$J$24</f>
        <v>0</v>
      </c>
      <c r="R26" s="263"/>
      <c r="S26" s="452">
        <f>R26*$J$24</f>
        <v>0</v>
      </c>
      <c r="T26" s="263"/>
      <c r="U26" s="452">
        <f>T26*$J$24</f>
        <v>0</v>
      </c>
      <c r="V26" s="263"/>
      <c r="W26" s="452">
        <f>V26*$J$24</f>
        <v>0</v>
      </c>
      <c r="X26" s="263"/>
      <c r="Y26" s="452">
        <f>X26*$J$24</f>
        <v>0</v>
      </c>
      <c r="Z26" s="263"/>
      <c r="AA26" s="452">
        <f>Z26*$J$24</f>
        <v>0</v>
      </c>
      <c r="AB26" s="263"/>
      <c r="AC26" s="452">
        <f>AB26*$J$24</f>
        <v>0</v>
      </c>
      <c r="AD26" s="449">
        <f t="shared" si="2"/>
        <v>0</v>
      </c>
      <c r="AE26" s="449">
        <f t="shared" si="2"/>
        <v>0</v>
      </c>
      <c r="AF26" s="908"/>
      <c r="AG26" s="908"/>
      <c r="AH26" s="697"/>
    </row>
    <row r="27" spans="1:34">
      <c r="A27" s="606">
        <v>9</v>
      </c>
      <c r="B27" s="639"/>
      <c r="C27" s="616" t="s">
        <v>59</v>
      </c>
      <c r="D27" s="619">
        <v>1268</v>
      </c>
      <c r="E27" s="245" t="s">
        <v>239</v>
      </c>
      <c r="F27" s="623" t="s">
        <v>240</v>
      </c>
      <c r="G27" s="218">
        <v>272</v>
      </c>
      <c r="H27" s="626">
        <v>6</v>
      </c>
      <c r="I27" s="689">
        <f>(G27+G28)/H27</f>
        <v>62</v>
      </c>
      <c r="J27" s="630">
        <v>186254</v>
      </c>
      <c r="K27" s="630">
        <f>(G27+G28)*J27</f>
        <v>69286488</v>
      </c>
      <c r="L27" s="699"/>
      <c r="M27" s="696">
        <f>L27*$J$27</f>
        <v>0</v>
      </c>
      <c r="N27" s="606"/>
      <c r="O27" s="696">
        <f>N27*$J$27</f>
        <v>0</v>
      </c>
      <c r="P27" s="606"/>
      <c r="Q27" s="696">
        <f>P27*$J$27</f>
        <v>0</v>
      </c>
      <c r="R27" s="606"/>
      <c r="S27" s="696">
        <f>R27*$J$27</f>
        <v>0</v>
      </c>
      <c r="T27" s="606"/>
      <c r="U27" s="696">
        <f>T27*$J$27</f>
        <v>0</v>
      </c>
      <c r="V27" s="606"/>
      <c r="W27" s="696">
        <f>V27*$J$27</f>
        <v>0</v>
      </c>
      <c r="X27" s="606"/>
      <c r="Y27" s="696">
        <f>X27*$J$27</f>
        <v>0</v>
      </c>
      <c r="Z27" s="606"/>
      <c r="AA27" s="696">
        <f>Z27*$J$27</f>
        <v>0</v>
      </c>
      <c r="AB27" s="606"/>
      <c r="AC27" s="696">
        <f>AB27*$J$27</f>
        <v>0</v>
      </c>
      <c r="AD27" s="915">
        <f t="shared" si="2"/>
        <v>0</v>
      </c>
      <c r="AE27" s="915">
        <f t="shared" si="2"/>
        <v>0</v>
      </c>
      <c r="AF27" s="907">
        <f t="shared" si="4"/>
        <v>0</v>
      </c>
      <c r="AG27" s="909">
        <f t="shared" si="0"/>
        <v>-272</v>
      </c>
      <c r="AH27" s="696">
        <f t="shared" si="1"/>
        <v>-69286488</v>
      </c>
    </row>
    <row r="28" spans="1:34">
      <c r="A28" s="608"/>
      <c r="B28" s="639"/>
      <c r="C28" s="618"/>
      <c r="D28" s="620"/>
      <c r="E28" s="245" t="s">
        <v>244</v>
      </c>
      <c r="F28" s="624"/>
      <c r="G28" s="217">
        <v>100</v>
      </c>
      <c r="H28" s="626"/>
      <c r="I28" s="673"/>
      <c r="J28" s="630"/>
      <c r="K28" s="630"/>
      <c r="L28" s="700"/>
      <c r="M28" s="697"/>
      <c r="N28" s="607"/>
      <c r="O28" s="697"/>
      <c r="P28" s="607"/>
      <c r="Q28" s="697"/>
      <c r="R28" s="607"/>
      <c r="S28" s="697"/>
      <c r="T28" s="607"/>
      <c r="U28" s="697"/>
      <c r="V28" s="607"/>
      <c r="W28" s="697"/>
      <c r="X28" s="607"/>
      <c r="Y28" s="697"/>
      <c r="Z28" s="607"/>
      <c r="AA28" s="697"/>
      <c r="AB28" s="607"/>
      <c r="AC28" s="697"/>
      <c r="AD28" s="916"/>
      <c r="AE28" s="916"/>
      <c r="AF28" s="908"/>
      <c r="AG28" s="910"/>
      <c r="AH28" s="697"/>
    </row>
    <row r="29" spans="1:34" ht="19.5">
      <c r="A29" s="608"/>
      <c r="B29" s="639"/>
      <c r="C29" s="616" t="s">
        <v>245</v>
      </c>
      <c r="D29" s="620"/>
      <c r="E29" s="245" t="s">
        <v>60</v>
      </c>
      <c r="F29" s="623" t="s">
        <v>246</v>
      </c>
      <c r="G29" s="713">
        <v>896</v>
      </c>
      <c r="H29" s="716">
        <v>13</v>
      </c>
      <c r="I29" s="719">
        <v>69</v>
      </c>
      <c r="J29" s="630">
        <v>186254</v>
      </c>
      <c r="K29" s="630">
        <f>(G29+G30)*J29</f>
        <v>166883584</v>
      </c>
      <c r="L29" s="919"/>
      <c r="M29" s="918">
        <f>L29*$J$29</f>
        <v>0</v>
      </c>
      <c r="N29" s="604"/>
      <c r="O29" s="918">
        <f>N29*$J$29</f>
        <v>0</v>
      </c>
      <c r="P29" s="604"/>
      <c r="Q29" s="918">
        <f>P29*$J$29</f>
        <v>0</v>
      </c>
      <c r="R29" s="604"/>
      <c r="S29" s="918">
        <f>R29*$J$29</f>
        <v>0</v>
      </c>
      <c r="T29" s="604"/>
      <c r="U29" s="918">
        <f>T29*$J$29</f>
        <v>0</v>
      </c>
      <c r="V29" s="604"/>
      <c r="W29" s="918">
        <f>V29*$J$29</f>
        <v>0</v>
      </c>
      <c r="X29" s="604"/>
      <c r="Y29" s="918">
        <f>X29*$J$29</f>
        <v>0</v>
      </c>
      <c r="Z29" s="604"/>
      <c r="AA29" s="918">
        <f>Z29*$J$29</f>
        <v>0</v>
      </c>
      <c r="AB29" s="604"/>
      <c r="AC29" s="918">
        <f>AB29*$J$29</f>
        <v>0</v>
      </c>
      <c r="AD29" s="915">
        <f t="shared" si="2"/>
        <v>0</v>
      </c>
      <c r="AE29" s="915">
        <f t="shared" si="2"/>
        <v>0</v>
      </c>
      <c r="AF29" s="907">
        <f t="shared" si="4"/>
        <v>0</v>
      </c>
      <c r="AG29" s="909">
        <f t="shared" si="0"/>
        <v>-896</v>
      </c>
      <c r="AH29" s="696">
        <f t="shared" si="1"/>
        <v>-166883584</v>
      </c>
    </row>
    <row r="30" spans="1:34" ht="19.5">
      <c r="A30" s="608"/>
      <c r="B30" s="639"/>
      <c r="C30" s="617"/>
      <c r="D30" s="620"/>
      <c r="E30" s="245" t="s">
        <v>61</v>
      </c>
      <c r="F30" s="625"/>
      <c r="G30" s="714"/>
      <c r="H30" s="717"/>
      <c r="I30" s="720"/>
      <c r="J30" s="630"/>
      <c r="K30" s="630"/>
      <c r="L30" s="709"/>
      <c r="M30" s="711"/>
      <c r="N30" s="605"/>
      <c r="O30" s="711"/>
      <c r="P30" s="605"/>
      <c r="Q30" s="711"/>
      <c r="R30" s="605"/>
      <c r="S30" s="711"/>
      <c r="T30" s="605"/>
      <c r="U30" s="711"/>
      <c r="V30" s="605"/>
      <c r="W30" s="711"/>
      <c r="X30" s="605"/>
      <c r="Y30" s="711"/>
      <c r="Z30" s="605"/>
      <c r="AA30" s="711"/>
      <c r="AB30" s="605"/>
      <c r="AC30" s="711"/>
      <c r="AD30" s="916"/>
      <c r="AE30" s="916"/>
      <c r="AF30" s="908"/>
      <c r="AG30" s="910"/>
      <c r="AH30" s="697"/>
    </row>
    <row r="31" spans="1:34" ht="19.5">
      <c r="A31" s="607"/>
      <c r="B31" s="640"/>
      <c r="C31" s="618"/>
      <c r="D31" s="621"/>
      <c r="E31" s="245" t="s">
        <v>62</v>
      </c>
      <c r="F31" s="624"/>
      <c r="G31" s="715"/>
      <c r="H31" s="718"/>
      <c r="I31" s="721"/>
      <c r="J31" s="630"/>
      <c r="K31" s="233">
        <v>196000000</v>
      </c>
      <c r="L31" s="448"/>
      <c r="M31" s="452">
        <f>L31*$J$29</f>
        <v>0</v>
      </c>
      <c r="N31" s="206"/>
      <c r="O31" s="452">
        <f>N31*$J$29</f>
        <v>0</v>
      </c>
      <c r="P31" s="206"/>
      <c r="Q31" s="452">
        <f>P31*$J$29</f>
        <v>0</v>
      </c>
      <c r="R31" s="206"/>
      <c r="S31" s="452">
        <f>R31*$J$29</f>
        <v>0</v>
      </c>
      <c r="T31" s="206"/>
      <c r="U31" s="452">
        <f>T31*$J$29</f>
        <v>0</v>
      </c>
      <c r="V31" s="206"/>
      <c r="W31" s="452">
        <f>V31*$J$29</f>
        <v>0</v>
      </c>
      <c r="X31" s="206"/>
      <c r="Y31" s="452">
        <f>X31*$J$29</f>
        <v>0</v>
      </c>
      <c r="Z31" s="206"/>
      <c r="AA31" s="452">
        <f>Z31*$J$29</f>
        <v>0</v>
      </c>
      <c r="AB31" s="206"/>
      <c r="AC31" s="452">
        <f>AB31*$J$29</f>
        <v>0</v>
      </c>
      <c r="AD31" s="449">
        <f t="shared" si="2"/>
        <v>0</v>
      </c>
      <c r="AE31" s="449">
        <f t="shared" si="2"/>
        <v>0</v>
      </c>
      <c r="AF31" s="451"/>
      <c r="AG31" s="453">
        <f t="shared" si="0"/>
        <v>0</v>
      </c>
      <c r="AH31" s="454">
        <f t="shared" si="1"/>
        <v>-196000000</v>
      </c>
    </row>
    <row r="32" spans="1:34" ht="15" customHeight="1">
      <c r="A32" s="206">
        <v>10</v>
      </c>
      <c r="B32" s="206" t="s">
        <v>249</v>
      </c>
      <c r="C32" s="206" t="s">
        <v>250</v>
      </c>
      <c r="D32" s="241">
        <v>60</v>
      </c>
      <c r="E32" s="245" t="s">
        <v>251</v>
      </c>
      <c r="F32" s="249" t="s">
        <v>258</v>
      </c>
      <c r="G32" s="216">
        <v>60</v>
      </c>
      <c r="H32" s="222">
        <v>4</v>
      </c>
      <c r="I32" s="377">
        <f>G32/H32</f>
        <v>15</v>
      </c>
      <c r="J32" s="447">
        <v>205000</v>
      </c>
      <c r="K32" s="234">
        <f>D32*J32</f>
        <v>12300000</v>
      </c>
      <c r="L32" s="448"/>
      <c r="M32" s="452">
        <f>L32*$J$32</f>
        <v>0</v>
      </c>
      <c r="N32" s="206"/>
      <c r="O32" s="452">
        <f>N32*$J$32</f>
        <v>0</v>
      </c>
      <c r="P32" s="206"/>
      <c r="Q32" s="452">
        <f>P32*$J$32</f>
        <v>0</v>
      </c>
      <c r="R32" s="206"/>
      <c r="S32" s="452">
        <f>R32*$J$32</f>
        <v>0</v>
      </c>
      <c r="T32" s="206"/>
      <c r="U32" s="452">
        <f>T32*$J$32</f>
        <v>0</v>
      </c>
      <c r="V32" s="206"/>
      <c r="W32" s="452">
        <f>V32*$J$32</f>
        <v>0</v>
      </c>
      <c r="X32" s="206"/>
      <c r="Y32" s="452">
        <f>X32*$J$32</f>
        <v>0</v>
      </c>
      <c r="Z32" s="206"/>
      <c r="AA32" s="452">
        <f>Z32*$J$32</f>
        <v>0</v>
      </c>
      <c r="AB32" s="206"/>
      <c r="AC32" s="452">
        <f>AB32*$J$32</f>
        <v>0</v>
      </c>
      <c r="AD32" s="449">
        <f t="shared" si="2"/>
        <v>0</v>
      </c>
      <c r="AE32" s="449">
        <f t="shared" si="2"/>
        <v>0</v>
      </c>
      <c r="AF32" s="451">
        <f t="shared" si="4"/>
        <v>0</v>
      </c>
      <c r="AG32" s="453">
        <f t="shared" si="0"/>
        <v>-60</v>
      </c>
      <c r="AH32" s="454">
        <f t="shared" si="1"/>
        <v>-12300000</v>
      </c>
    </row>
    <row r="33" spans="1:34">
      <c r="A33" s="683" t="s">
        <v>255</v>
      </c>
      <c r="B33" s="684"/>
      <c r="C33" s="685"/>
      <c r="D33" s="210">
        <f>SUM(D2:D32)</f>
        <v>13995</v>
      </c>
      <c r="E33" s="238"/>
      <c r="F33" s="232"/>
      <c r="G33" s="209"/>
      <c r="H33" s="228">
        <f>H2+H4+H6+H8+H9+H10+H12+H13+H14+H15+H16+H17+H18+H19+H20+H22+H23+H24+H25+H26+H27+H29+H32</f>
        <v>154</v>
      </c>
      <c r="I33" s="255"/>
      <c r="J33" s="464"/>
      <c r="K33" s="465">
        <f>SUM(K2:K32)</f>
        <v>2691023510</v>
      </c>
      <c r="L33" s="229">
        <f t="shared" ref="L33:AG33" si="5">SUM(L2:L32)</f>
        <v>95</v>
      </c>
      <c r="M33" s="466">
        <f t="shared" si="5"/>
        <v>16685230</v>
      </c>
      <c r="N33" s="229">
        <f t="shared" si="5"/>
        <v>0</v>
      </c>
      <c r="O33" s="466">
        <f>SUM(O2:O32)</f>
        <v>0</v>
      </c>
      <c r="P33" s="229">
        <f t="shared" si="5"/>
        <v>0</v>
      </c>
      <c r="Q33" s="466">
        <f t="shared" si="5"/>
        <v>0</v>
      </c>
      <c r="R33" s="229">
        <f t="shared" si="5"/>
        <v>0</v>
      </c>
      <c r="S33" s="466">
        <f t="shared" si="5"/>
        <v>0</v>
      </c>
      <c r="T33" s="229">
        <f t="shared" si="5"/>
        <v>0</v>
      </c>
      <c r="U33" s="466">
        <f t="shared" si="5"/>
        <v>0</v>
      </c>
      <c r="V33" s="229">
        <f t="shared" si="5"/>
        <v>0</v>
      </c>
      <c r="W33" s="466">
        <f t="shared" si="5"/>
        <v>0</v>
      </c>
      <c r="X33" s="229">
        <f t="shared" si="5"/>
        <v>0</v>
      </c>
      <c r="Y33" s="466">
        <f t="shared" si="5"/>
        <v>0</v>
      </c>
      <c r="Z33" s="229">
        <f t="shared" si="5"/>
        <v>0</v>
      </c>
      <c r="AA33" s="466">
        <f t="shared" si="5"/>
        <v>0</v>
      </c>
      <c r="AB33" s="229">
        <f t="shared" si="5"/>
        <v>0</v>
      </c>
      <c r="AC33" s="466">
        <f t="shared" si="5"/>
        <v>0</v>
      </c>
      <c r="AD33" s="229">
        <f t="shared" si="5"/>
        <v>95</v>
      </c>
      <c r="AE33" s="466">
        <f>SUM(AE2:AE32)</f>
        <v>16685230</v>
      </c>
      <c r="AF33" s="467">
        <f>SUM(AF2:AF32)</f>
        <v>5.9374999999999997E-2</v>
      </c>
      <c r="AG33" s="229">
        <f t="shared" si="5"/>
        <v>-13436</v>
      </c>
      <c r="AH33" s="466">
        <f>SUM(AH2:AH32)</f>
        <v>-2674338280</v>
      </c>
    </row>
    <row r="34" spans="1:34">
      <c r="AD34" s="469">
        <f>AD33/D33</f>
        <v>6.7881386209360482E-3</v>
      </c>
      <c r="AE34" s="469">
        <f>AE33/K33</f>
        <v>6.2003285879876982E-3</v>
      </c>
      <c r="AG34" s="470"/>
    </row>
  </sheetData>
  <mergeCells count="244">
    <mergeCell ref="A33:C33"/>
    <mergeCell ref="AC29:AC30"/>
    <mergeCell ref="AD29:AD30"/>
    <mergeCell ref="AE29:AE30"/>
    <mergeCell ref="AF29:AF30"/>
    <mergeCell ref="AG29:AG30"/>
    <mergeCell ref="AH29:AH30"/>
    <mergeCell ref="W29:W30"/>
    <mergeCell ref="X29:X30"/>
    <mergeCell ref="Y29:Y30"/>
    <mergeCell ref="Z29:Z30"/>
    <mergeCell ref="AA29:AA30"/>
    <mergeCell ref="AB29:AB30"/>
    <mergeCell ref="Q29:Q30"/>
    <mergeCell ref="R29:R30"/>
    <mergeCell ref="S29:S30"/>
    <mergeCell ref="T29:T30"/>
    <mergeCell ref="U29:U30"/>
    <mergeCell ref="V29:V30"/>
    <mergeCell ref="K29:K30"/>
    <mergeCell ref="L29:L30"/>
    <mergeCell ref="M29:M30"/>
    <mergeCell ref="N29:N30"/>
    <mergeCell ref="O29:O30"/>
    <mergeCell ref="H29:H31"/>
    <mergeCell ref="I29:I31"/>
    <mergeCell ref="J29:J31"/>
    <mergeCell ref="AC27:AC28"/>
    <mergeCell ref="AD27:AD28"/>
    <mergeCell ref="Q27:Q28"/>
    <mergeCell ref="R27:R28"/>
    <mergeCell ref="S27:S28"/>
    <mergeCell ref="T27:T28"/>
    <mergeCell ref="U27:U28"/>
    <mergeCell ref="V27:V28"/>
    <mergeCell ref="K27:K28"/>
    <mergeCell ref="L27:L28"/>
    <mergeCell ref="M27:M28"/>
    <mergeCell ref="N27:N28"/>
    <mergeCell ref="O27:O28"/>
    <mergeCell ref="P27:P28"/>
    <mergeCell ref="AF24:AF26"/>
    <mergeCell ref="AG24:AG26"/>
    <mergeCell ref="AH24:AH26"/>
    <mergeCell ref="A27:A31"/>
    <mergeCell ref="C27:C28"/>
    <mergeCell ref="D27:D31"/>
    <mergeCell ref="F27:F28"/>
    <mergeCell ref="H27:H28"/>
    <mergeCell ref="I27:I28"/>
    <mergeCell ref="J27:J28"/>
    <mergeCell ref="AE27:AE28"/>
    <mergeCell ref="AF27:AF28"/>
    <mergeCell ref="AG27:AG28"/>
    <mergeCell ref="AH27:AH28"/>
    <mergeCell ref="W27:W28"/>
    <mergeCell ref="X27:X28"/>
    <mergeCell ref="Y27:Y28"/>
    <mergeCell ref="Z27:Z28"/>
    <mergeCell ref="AA27:AA28"/>
    <mergeCell ref="AB27:AB28"/>
    <mergeCell ref="P29:P30"/>
    <mergeCell ref="C29:C31"/>
    <mergeCell ref="F29:F31"/>
    <mergeCell ref="G29:G31"/>
    <mergeCell ref="AE20:AE21"/>
    <mergeCell ref="AF20:AF21"/>
    <mergeCell ref="AG20:AG21"/>
    <mergeCell ref="A24:A26"/>
    <mergeCell ref="C24:C26"/>
    <mergeCell ref="D24:D26"/>
    <mergeCell ref="F24:F26"/>
    <mergeCell ref="G24:G26"/>
    <mergeCell ref="J24:J26"/>
    <mergeCell ref="K24:K26"/>
    <mergeCell ref="Y20:Y21"/>
    <mergeCell ref="Z20:Z21"/>
    <mergeCell ref="AA20:AA21"/>
    <mergeCell ref="AB20:AB21"/>
    <mergeCell ref="AC20:AC21"/>
    <mergeCell ref="AD20:AD21"/>
    <mergeCell ref="S20:S21"/>
    <mergeCell ref="T20:T21"/>
    <mergeCell ref="U20:U21"/>
    <mergeCell ref="V20:V21"/>
    <mergeCell ref="W20:W21"/>
    <mergeCell ref="X20:X21"/>
    <mergeCell ref="M20:M21"/>
    <mergeCell ref="N20:N21"/>
    <mergeCell ref="O20:O21"/>
    <mergeCell ref="P20:P21"/>
    <mergeCell ref="Q20:Q21"/>
    <mergeCell ref="R20:R21"/>
    <mergeCell ref="A19:A23"/>
    <mergeCell ref="C19:C23"/>
    <mergeCell ref="D19:D23"/>
    <mergeCell ref="J19:J23"/>
    <mergeCell ref="K19:K23"/>
    <mergeCell ref="AH19:AH23"/>
    <mergeCell ref="G20:G21"/>
    <mergeCell ref="H20:H21"/>
    <mergeCell ref="I20:I21"/>
    <mergeCell ref="L20:L21"/>
    <mergeCell ref="AF10:AF11"/>
    <mergeCell ref="AG10:AG11"/>
    <mergeCell ref="AH10:AH11"/>
    <mergeCell ref="A12:A18"/>
    <mergeCell ref="C12:C18"/>
    <mergeCell ref="D12:D18"/>
    <mergeCell ref="J12:J18"/>
    <mergeCell ref="K12:K18"/>
    <mergeCell ref="AH12:AH18"/>
    <mergeCell ref="Z10:Z11"/>
    <mergeCell ref="AA10:AA11"/>
    <mergeCell ref="AB10:AB11"/>
    <mergeCell ref="AC10:AC11"/>
    <mergeCell ref="AD10:AD11"/>
    <mergeCell ref="AE10:AE11"/>
    <mergeCell ref="T10:T11"/>
    <mergeCell ref="U10:U11"/>
    <mergeCell ref="V10:V11"/>
    <mergeCell ref="W10:W11"/>
    <mergeCell ref="X10:X11"/>
    <mergeCell ref="Y10:Y11"/>
    <mergeCell ref="N10:N11"/>
    <mergeCell ref="O10:O11"/>
    <mergeCell ref="P10:P11"/>
    <mergeCell ref="Q10:Q11"/>
    <mergeCell ref="R10:R11"/>
    <mergeCell ref="S10:S11"/>
    <mergeCell ref="H10:H11"/>
    <mergeCell ref="I10:I11"/>
    <mergeCell ref="J10:J11"/>
    <mergeCell ref="K10:K11"/>
    <mergeCell ref="L10:L11"/>
    <mergeCell ref="M10:M11"/>
    <mergeCell ref="AG6:AG7"/>
    <mergeCell ref="AH6:AH7"/>
    <mergeCell ref="A8:A9"/>
    <mergeCell ref="B8:B31"/>
    <mergeCell ref="A10:A11"/>
    <mergeCell ref="C10:C11"/>
    <mergeCell ref="D10:D11"/>
    <mergeCell ref="E10:E11"/>
    <mergeCell ref="F10:F11"/>
    <mergeCell ref="G10:G11"/>
    <mergeCell ref="AA6:AA7"/>
    <mergeCell ref="AB6:AB7"/>
    <mergeCell ref="AC6:AC7"/>
    <mergeCell ref="AD6:AD7"/>
    <mergeCell ref="AE6:AE7"/>
    <mergeCell ref="AF6:AF7"/>
    <mergeCell ref="U6:U7"/>
    <mergeCell ref="V6:V7"/>
    <mergeCell ref="W6:W7"/>
    <mergeCell ref="X6:X7"/>
    <mergeCell ref="Y6:Y7"/>
    <mergeCell ref="Z6:Z7"/>
    <mergeCell ref="O6:O7"/>
    <mergeCell ref="P6:P7"/>
    <mergeCell ref="R6:R7"/>
    <mergeCell ref="S6:S7"/>
    <mergeCell ref="T6:T7"/>
    <mergeCell ref="I6:I7"/>
    <mergeCell ref="J6:J7"/>
    <mergeCell ref="K6:K7"/>
    <mergeCell ref="L6:L7"/>
    <mergeCell ref="M6:M7"/>
    <mergeCell ref="N6:N7"/>
    <mergeCell ref="AG4:AG5"/>
    <mergeCell ref="AH4:AH5"/>
    <mergeCell ref="A6:A7"/>
    <mergeCell ref="C6:C7"/>
    <mergeCell ref="D6:D7"/>
    <mergeCell ref="E6:E7"/>
    <mergeCell ref="F6:F7"/>
    <mergeCell ref="G6:G7"/>
    <mergeCell ref="H6:H7"/>
    <mergeCell ref="Z4:Z5"/>
    <mergeCell ref="AA4:AA5"/>
    <mergeCell ref="AB4:AB5"/>
    <mergeCell ref="AC4:AC5"/>
    <mergeCell ref="AD4:AD5"/>
    <mergeCell ref="AE4:AE5"/>
    <mergeCell ref="T4:T5"/>
    <mergeCell ref="U4:U5"/>
    <mergeCell ref="V4:V5"/>
    <mergeCell ref="W4:W5"/>
    <mergeCell ref="X4:X5"/>
    <mergeCell ref="Y4:Y5"/>
    <mergeCell ref="N4:N5"/>
    <mergeCell ref="O4:O5"/>
    <mergeCell ref="Q6:Q7"/>
    <mergeCell ref="R4:R5"/>
    <mergeCell ref="S4:S5"/>
    <mergeCell ref="H4:H5"/>
    <mergeCell ref="I4:I5"/>
    <mergeCell ref="J4:J5"/>
    <mergeCell ref="K4:K5"/>
    <mergeCell ref="L4:L5"/>
    <mergeCell ref="M4:M5"/>
    <mergeCell ref="AF4:AF5"/>
    <mergeCell ref="AH2:AH3"/>
    <mergeCell ref="A4:A5"/>
    <mergeCell ref="B4:B7"/>
    <mergeCell ref="C4:C5"/>
    <mergeCell ref="D4:D5"/>
    <mergeCell ref="E4:E5"/>
    <mergeCell ref="F4:F5"/>
    <mergeCell ref="G4:G5"/>
    <mergeCell ref="Z2:Z3"/>
    <mergeCell ref="AA2:AA3"/>
    <mergeCell ref="AB2:AB3"/>
    <mergeCell ref="AC2:AC3"/>
    <mergeCell ref="AD2:AD3"/>
    <mergeCell ref="AE2:AE3"/>
    <mergeCell ref="T2:T3"/>
    <mergeCell ref="U2:U3"/>
    <mergeCell ref="V2:V3"/>
    <mergeCell ref="W2:W3"/>
    <mergeCell ref="X2:X3"/>
    <mergeCell ref="Y2:Y3"/>
    <mergeCell ref="N2:N3"/>
    <mergeCell ref="O2:O3"/>
    <mergeCell ref="P4:P5"/>
    <mergeCell ref="Q4:Q5"/>
    <mergeCell ref="S2:S3"/>
    <mergeCell ref="H2:H3"/>
    <mergeCell ref="I2:I3"/>
    <mergeCell ref="J2:J3"/>
    <mergeCell ref="K2:K3"/>
    <mergeCell ref="L2:L3"/>
    <mergeCell ref="M2:M3"/>
    <mergeCell ref="AF2:AF3"/>
    <mergeCell ref="AG2:AG3"/>
    <mergeCell ref="A2:A3"/>
    <mergeCell ref="B2:B3"/>
    <mergeCell ref="C2:C3"/>
    <mergeCell ref="D2:D3"/>
    <mergeCell ref="E2:E3"/>
    <mergeCell ref="G2:G3"/>
    <mergeCell ref="P2:P3"/>
    <mergeCell ref="Q2:Q3"/>
    <mergeCell ref="R2:R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79EC93-8DD4-49EE-A656-1F520E6824EA}">
  <dimension ref="A2:AX138"/>
  <sheetViews>
    <sheetView showGridLines="0" topLeftCell="A24" workbookViewId="0"/>
  </sheetViews>
  <sheetFormatPr defaultColWidth="11.85546875" defaultRowHeight="11.25"/>
  <cols>
    <col min="1" max="1" width="4.28515625" style="1" customWidth="1"/>
    <col min="2" max="2" width="7.28515625" style="1" customWidth="1"/>
    <col min="3" max="3" width="4.5703125" style="1" customWidth="1"/>
    <col min="4" max="4" width="31.5703125" style="1" customWidth="1"/>
    <col min="5" max="5" width="13.140625" style="1" customWidth="1"/>
    <col min="6" max="6" width="13" style="1" customWidth="1"/>
    <col min="7" max="7" width="10.85546875" style="2" customWidth="1"/>
    <col min="8" max="8" width="11.85546875" style="1"/>
    <col min="9" max="9" width="11.140625" style="2" customWidth="1"/>
    <col min="10" max="10" width="10.42578125" style="1" customWidth="1"/>
    <col min="11" max="11" width="11.7109375" style="1" bestFit="1" customWidth="1"/>
    <col min="12" max="12" width="10.85546875" style="1" customWidth="1"/>
    <col min="13" max="13" width="12.7109375" style="1" bestFit="1" customWidth="1"/>
    <col min="14" max="14" width="10.85546875" style="3" bestFit="1" customWidth="1"/>
    <col min="15" max="15" width="12" style="1" bestFit="1" customWidth="1"/>
    <col min="16" max="16" width="8.5703125" style="1" bestFit="1" customWidth="1"/>
    <col min="17" max="17" width="9" style="1" bestFit="1" customWidth="1"/>
    <col min="18" max="18" width="12" style="1" bestFit="1" customWidth="1"/>
    <col min="19" max="19" width="12.7109375" style="1" bestFit="1" customWidth="1"/>
    <col min="20" max="25" width="12" style="1" bestFit="1" customWidth="1"/>
    <col min="26" max="26" width="14" style="4" bestFit="1" customWidth="1"/>
    <col min="27" max="27" width="12" style="4" bestFit="1" customWidth="1"/>
    <col min="28" max="28" width="12" style="1" bestFit="1" customWidth="1"/>
    <col min="29" max="29" width="12.7109375" style="1" bestFit="1" customWidth="1"/>
    <col min="30" max="33" width="12" style="1" bestFit="1" customWidth="1"/>
    <col min="34" max="34" width="11.85546875" style="1"/>
    <col min="35" max="36" width="12" style="1" bestFit="1" customWidth="1"/>
    <col min="37" max="16384" width="11.85546875" style="1"/>
  </cols>
  <sheetData>
    <row r="2" spans="1:49">
      <c r="A2" s="1" t="s">
        <v>1</v>
      </c>
      <c r="Z2" s="5"/>
      <c r="AA2" s="5"/>
    </row>
    <row r="3" spans="1:49">
      <c r="I3" s="1"/>
      <c r="Y3" s="6"/>
      <c r="Z3" s="5"/>
      <c r="AA3" s="5"/>
      <c r="AF3" s="1">
        <f>+AF12/Z31</f>
        <v>0</v>
      </c>
    </row>
    <row r="4" spans="1:49">
      <c r="A4" s="1" t="s">
        <v>2</v>
      </c>
      <c r="D4" s="1" t="s">
        <v>3</v>
      </c>
      <c r="G4" s="1"/>
      <c r="I4" s="1"/>
      <c r="J4" s="2"/>
      <c r="AA4" s="5"/>
      <c r="AB4" s="3"/>
    </row>
    <row r="5" spans="1:49" ht="12" customHeight="1">
      <c r="A5" s="1" t="s">
        <v>4</v>
      </c>
      <c r="D5" s="7" t="s">
        <v>5</v>
      </c>
      <c r="F5" s="7"/>
      <c r="G5" s="7"/>
      <c r="H5" s="7"/>
      <c r="I5" s="7"/>
      <c r="J5" s="7"/>
      <c r="K5" s="8"/>
      <c r="L5" s="8"/>
      <c r="M5" s="8"/>
      <c r="N5" s="9"/>
      <c r="T5" s="10"/>
      <c r="U5" s="10"/>
      <c r="V5" s="10"/>
      <c r="W5" s="10"/>
      <c r="X5" s="10"/>
      <c r="Z5" s="11"/>
    </row>
    <row r="6" spans="1:49">
      <c r="A6" s="1" t="s">
        <v>6</v>
      </c>
      <c r="D6" s="1" t="s">
        <v>7</v>
      </c>
      <c r="G6" s="1"/>
      <c r="I6" s="1"/>
      <c r="J6" s="2"/>
      <c r="Y6" s="10"/>
      <c r="Z6" s="5">
        <f>+Z55-AI31</f>
        <v>-0.1100001335144043</v>
      </c>
    </row>
    <row r="7" spans="1:49" ht="12" thickBot="1">
      <c r="A7" s="1" t="s">
        <v>8</v>
      </c>
      <c r="D7" s="1" t="s">
        <v>9</v>
      </c>
      <c r="G7" s="1"/>
      <c r="I7" s="1"/>
      <c r="J7" s="2"/>
    </row>
    <row r="8" spans="1:49" ht="30" customHeight="1" thickBot="1">
      <c r="A8" s="12" t="s">
        <v>10</v>
      </c>
      <c r="B8" s="13" t="s">
        <v>10</v>
      </c>
      <c r="C8" s="13" t="s">
        <v>11</v>
      </c>
      <c r="D8" s="13" t="s">
        <v>12</v>
      </c>
      <c r="E8" s="590" t="s">
        <v>13</v>
      </c>
      <c r="F8" s="590"/>
      <c r="G8" s="590"/>
      <c r="H8" s="590"/>
      <c r="I8" s="590"/>
      <c r="J8" s="590"/>
      <c r="K8" s="590"/>
      <c r="L8" s="590"/>
      <c r="M8" s="568" t="s">
        <v>14</v>
      </c>
      <c r="N8" s="569" t="s">
        <v>15</v>
      </c>
      <c r="O8" s="569"/>
      <c r="P8" s="569"/>
      <c r="Q8" s="569"/>
      <c r="R8" s="570"/>
      <c r="S8" s="205"/>
      <c r="T8" s="571" t="s">
        <v>16</v>
      </c>
      <c r="U8" s="569"/>
      <c r="V8" s="569"/>
      <c r="W8" s="569"/>
      <c r="X8" s="569"/>
      <c r="Y8" s="570"/>
      <c r="Z8" s="572" t="s">
        <v>17</v>
      </c>
      <c r="AA8" s="573"/>
      <c r="AB8" s="574"/>
      <c r="AC8" s="575" t="s">
        <v>18</v>
      </c>
      <c r="AD8" s="576"/>
      <c r="AE8" s="576"/>
      <c r="AF8" s="577"/>
      <c r="AG8" s="586" t="s">
        <v>19</v>
      </c>
      <c r="AH8" s="587" t="s">
        <v>20</v>
      </c>
    </row>
    <row r="9" spans="1:49" ht="23.25" thickBot="1">
      <c r="E9" s="16" t="s">
        <v>21</v>
      </c>
      <c r="F9" s="17" t="s">
        <v>22</v>
      </c>
      <c r="G9" s="17" t="s">
        <v>23</v>
      </c>
      <c r="H9" s="17" t="s">
        <v>24</v>
      </c>
      <c r="I9" s="17" t="s">
        <v>25</v>
      </c>
      <c r="J9" s="17" t="s">
        <v>26</v>
      </c>
      <c r="K9" s="16" t="s">
        <v>27</v>
      </c>
      <c r="L9" s="16" t="s">
        <v>28</v>
      </c>
      <c r="M9" s="568"/>
      <c r="N9" s="18" t="s">
        <v>29</v>
      </c>
      <c r="O9" s="19" t="s">
        <v>30</v>
      </c>
      <c r="P9" s="19" t="s">
        <v>31</v>
      </c>
      <c r="Q9" s="19" t="s">
        <v>32</v>
      </c>
      <c r="R9" s="20" t="s">
        <v>33</v>
      </c>
      <c r="S9" s="16" t="s">
        <v>34</v>
      </c>
      <c r="T9" s="21" t="s">
        <v>35</v>
      </c>
      <c r="U9" s="21" t="s">
        <v>36</v>
      </c>
      <c r="V9" s="21" t="s">
        <v>37</v>
      </c>
      <c r="W9" s="21" t="s">
        <v>38</v>
      </c>
      <c r="X9" s="21" t="s">
        <v>39</v>
      </c>
      <c r="Y9" s="22" t="s">
        <v>40</v>
      </c>
      <c r="Z9" s="23" t="s">
        <v>41</v>
      </c>
      <c r="AA9" s="580" t="s">
        <v>42</v>
      </c>
      <c r="AB9" s="589"/>
      <c r="AC9" s="578" t="s">
        <v>43</v>
      </c>
      <c r="AD9" s="578" t="s">
        <v>15</v>
      </c>
      <c r="AE9" s="578" t="s">
        <v>44</v>
      </c>
      <c r="AF9" s="578" t="s">
        <v>45</v>
      </c>
      <c r="AG9" s="586"/>
      <c r="AH9" s="588"/>
      <c r="AI9" s="578" t="s">
        <v>46</v>
      </c>
    </row>
    <row r="10" spans="1:49" ht="12" thickBot="1">
      <c r="E10" s="24"/>
      <c r="F10" s="17"/>
      <c r="G10" s="17"/>
      <c r="H10" s="17"/>
      <c r="I10" s="17"/>
      <c r="J10" s="17"/>
      <c r="K10" s="16"/>
      <c r="L10" s="16"/>
      <c r="M10" s="14"/>
      <c r="N10" s="25">
        <v>27075</v>
      </c>
      <c r="O10" s="26">
        <v>3.8399999999999997E-2</v>
      </c>
      <c r="P10" s="26">
        <v>3.2000000000000001E-2</v>
      </c>
      <c r="Q10" s="27">
        <v>6.1419999999999999E-3</v>
      </c>
      <c r="R10" s="176"/>
      <c r="T10" s="28">
        <v>0.16</v>
      </c>
      <c r="U10" s="29">
        <v>5.0000000000000001E-3</v>
      </c>
      <c r="V10" s="29">
        <v>1.2E-2</v>
      </c>
      <c r="W10" s="29">
        <v>2.0714199999999999E-2</v>
      </c>
      <c r="X10" s="30">
        <v>0.03</v>
      </c>
      <c r="Y10" s="31">
        <f>SUM(T10:X10)</f>
        <v>0.22771420000000001</v>
      </c>
      <c r="Z10" s="129">
        <v>0.21680099999999999</v>
      </c>
      <c r="AA10" s="33" t="s">
        <v>47</v>
      </c>
      <c r="AB10" s="34" t="s">
        <v>48</v>
      </c>
      <c r="AC10" s="579"/>
      <c r="AD10" s="579"/>
      <c r="AE10" s="579"/>
      <c r="AF10" s="579"/>
      <c r="AG10" s="586"/>
      <c r="AH10" s="588"/>
      <c r="AI10" s="579"/>
    </row>
    <row r="11" spans="1:49" ht="12" thickBot="1">
      <c r="B11" s="35"/>
      <c r="C11" s="35"/>
      <c r="D11" s="36" t="s">
        <v>49</v>
      </c>
      <c r="E11" s="37"/>
      <c r="F11" s="38"/>
      <c r="G11" s="38"/>
      <c r="H11" s="38"/>
      <c r="I11" s="38"/>
      <c r="J11" s="38"/>
      <c r="K11" s="39"/>
      <c r="L11" s="39"/>
      <c r="M11" s="39"/>
      <c r="N11" s="40">
        <v>0</v>
      </c>
      <c r="O11" s="41">
        <v>0</v>
      </c>
      <c r="P11" s="41">
        <v>0</v>
      </c>
      <c r="Q11" s="177">
        <v>4.4999999999999997E-3</v>
      </c>
      <c r="R11" s="178"/>
      <c r="S11" s="42">
        <v>0.28699999999999998</v>
      </c>
      <c r="T11" s="43">
        <f>+T31/$Z$31</f>
        <v>0.13072028472167019</v>
      </c>
      <c r="U11" s="43">
        <f>+U31/$Z$31</f>
        <v>4.0850088975521934E-3</v>
      </c>
      <c r="V11" s="43">
        <f>+V31/$Z$31</f>
        <v>9.8040213541252651E-3</v>
      </c>
      <c r="W11" s="43">
        <f>+W31/$Z$31</f>
        <v>1.6923538261135126E-2</v>
      </c>
      <c r="X11" s="43">
        <f>+X31/$Z$31</f>
        <v>2.451005338531316E-2</v>
      </c>
      <c r="Y11" s="44">
        <f>SUM(T11:X11)</f>
        <v>0.18604290661979594</v>
      </c>
      <c r="Z11" s="45">
        <v>0.27090320000000001</v>
      </c>
      <c r="AA11" s="46"/>
      <c r="AB11" s="47"/>
      <c r="AC11" s="48"/>
      <c r="AD11" s="48"/>
      <c r="AE11" s="48"/>
      <c r="AF11" s="49"/>
      <c r="AG11" s="50"/>
      <c r="AH11" s="16"/>
    </row>
    <row r="12" spans="1:49" ht="12" customHeight="1">
      <c r="A12" s="580"/>
      <c r="B12" s="581" t="s">
        <v>50</v>
      </c>
      <c r="C12" s="51"/>
      <c r="D12" s="582" t="s">
        <v>51</v>
      </c>
      <c r="E12" s="583"/>
      <c r="F12" s="583"/>
      <c r="I12" s="52"/>
      <c r="K12" s="2"/>
      <c r="L12" s="53"/>
      <c r="M12" s="54"/>
      <c r="O12" s="53"/>
      <c r="P12" s="53"/>
      <c r="Q12" s="53"/>
      <c r="R12" s="55"/>
      <c r="S12" s="3"/>
      <c r="T12" s="53"/>
      <c r="U12" s="53"/>
      <c r="V12" s="53"/>
      <c r="W12" s="53"/>
      <c r="X12" s="53"/>
      <c r="Y12" s="53"/>
      <c r="Z12" s="56"/>
      <c r="AA12" s="3"/>
      <c r="AB12" s="57"/>
      <c r="AC12" s="56"/>
      <c r="AD12" s="3"/>
      <c r="AE12" s="3"/>
      <c r="AF12" s="58"/>
      <c r="AG12" s="5">
        <f>+AI31-Z55</f>
        <v>0.1100001335144043</v>
      </c>
      <c r="AH12" s="59" t="s">
        <v>52</v>
      </c>
    </row>
    <row r="13" spans="1:49">
      <c r="A13" s="580"/>
      <c r="B13" s="581"/>
      <c r="C13" s="51"/>
      <c r="D13" s="60" t="s">
        <v>53</v>
      </c>
      <c r="H13" s="61" t="s">
        <v>54</v>
      </c>
      <c r="I13" s="52"/>
      <c r="K13" s="2"/>
      <c r="L13" s="53"/>
      <c r="M13" s="62"/>
      <c r="O13" s="53"/>
      <c r="P13" s="53"/>
      <c r="Q13" s="53"/>
      <c r="R13" s="4"/>
      <c r="S13" s="3"/>
      <c r="T13" s="53"/>
      <c r="U13" s="53"/>
      <c r="V13" s="53"/>
      <c r="W13" s="53"/>
      <c r="X13" s="53"/>
      <c r="Y13" s="53"/>
      <c r="Z13" s="56"/>
      <c r="AA13" s="3"/>
      <c r="AB13" s="57"/>
      <c r="AC13" s="63"/>
      <c r="AF13" s="64"/>
      <c r="AG13" s="5"/>
      <c r="AH13" s="3"/>
      <c r="AU13" s="53"/>
      <c r="AV13" s="53"/>
    </row>
    <row r="14" spans="1:49">
      <c r="A14" s="580"/>
      <c r="B14" s="581"/>
      <c r="C14" s="51">
        <v>1</v>
      </c>
      <c r="D14" s="8" t="s">
        <v>55</v>
      </c>
      <c r="E14" s="1">
        <v>1310</v>
      </c>
      <c r="F14" s="1">
        <v>1</v>
      </c>
      <c r="G14" s="65">
        <f t="shared" ref="G14:G28" si="0">+E14/F14</f>
        <v>1310</v>
      </c>
      <c r="H14" s="66">
        <v>1</v>
      </c>
      <c r="I14" s="65">
        <f t="shared" ref="I14:I28" si="1">+G14*H14</f>
        <v>1310</v>
      </c>
      <c r="J14" s="61">
        <v>1</v>
      </c>
      <c r="K14" s="65">
        <f>+I14*J14</f>
        <v>1310</v>
      </c>
      <c r="L14" s="53">
        <v>85000</v>
      </c>
      <c r="M14" s="54">
        <f t="shared" ref="M14:M29" si="2">+K14*L14</f>
        <v>111350000</v>
      </c>
      <c r="N14" s="3">
        <v>0</v>
      </c>
      <c r="O14" s="53">
        <f t="shared" ref="O14:O28" si="3">+M14*$O$11</f>
        <v>0</v>
      </c>
      <c r="P14" s="53">
        <f>+M14*$P$11</f>
        <v>0</v>
      </c>
      <c r="Q14" s="53">
        <f>+M14*$Q$11</f>
        <v>501074.99999999994</v>
      </c>
      <c r="R14" s="55">
        <f>SUM(N14:Q14)</f>
        <v>501074.99999999994</v>
      </c>
      <c r="S14" s="3">
        <f>ROUND((+M14+R14)/(1-$S$11),-3)</f>
        <v>156874000</v>
      </c>
      <c r="T14" s="53">
        <f>+S14*$T$10</f>
        <v>25099840</v>
      </c>
      <c r="U14" s="53">
        <f>+S14*$U$10</f>
        <v>784370</v>
      </c>
      <c r="V14" s="53">
        <f t="shared" ref="V14:V28" si="4">+S14*$V$10</f>
        <v>1882488</v>
      </c>
      <c r="W14" s="53">
        <f t="shared" ref="W14:W28" si="5">+S14*$W$10</f>
        <v>3249519.4107999997</v>
      </c>
      <c r="X14" s="53">
        <f t="shared" ref="X14:X28" si="6">+S14*$X$10</f>
        <v>4706220</v>
      </c>
      <c r="Y14" s="67">
        <f t="shared" ref="Y14:Y28" si="7">SUM(T14:X14)</f>
        <v>35722437.410799995</v>
      </c>
      <c r="Z14" s="56">
        <f>ROUND((+Y14+R14+M14)/(1-$Z$10),0)+114</f>
        <v>188424145</v>
      </c>
      <c r="AA14" s="3">
        <f t="shared" ref="AA14:AA28" si="8">ROUND((+Z14-Y14-R14-M14),0)</f>
        <v>40850633</v>
      </c>
      <c r="AB14" s="57">
        <f>+AA14/Z14</f>
        <v>0.21680147732659208</v>
      </c>
      <c r="AC14" s="56">
        <f t="shared" ref="AC14:AC28" si="9">+M14</f>
        <v>111350000</v>
      </c>
      <c r="AD14" s="3">
        <f t="shared" ref="AD14:AD28" si="10">+R14</f>
        <v>501074.99999999994</v>
      </c>
      <c r="AE14" s="3">
        <f>+Y14</f>
        <v>35722437.410799995</v>
      </c>
      <c r="AF14" s="58">
        <f>+AA14</f>
        <v>40850633</v>
      </c>
      <c r="AG14" s="68">
        <f t="shared" ref="AG14:AG28" si="11">+Z14-AC14-AD14-AE14-AF14</f>
        <v>-0.41079999506473541</v>
      </c>
      <c r="AI14" s="3">
        <f>+K14*(165380*1.062)</f>
        <v>230079963.59999999</v>
      </c>
      <c r="AJ14" s="3">
        <f>+AI14/K14</f>
        <v>175633.56</v>
      </c>
      <c r="AK14" s="3">
        <f>+Z14/E14</f>
        <v>143835.2251908397</v>
      </c>
      <c r="AM14" s="3"/>
      <c r="AN14" s="3"/>
      <c r="AR14" s="53">
        <f>+L14</f>
        <v>85000</v>
      </c>
      <c r="AS14" s="53">
        <v>80000</v>
      </c>
      <c r="AT14" s="53">
        <f>+AR14-AS14</f>
        <v>5000</v>
      </c>
      <c r="AU14" s="10">
        <f>+AT14/AS14</f>
        <v>6.25E-2</v>
      </c>
      <c r="AV14" s="3">
        <f>+AR14*E14</f>
        <v>111350000</v>
      </c>
      <c r="AW14" s="3">
        <f>+AS14*E14</f>
        <v>104800000</v>
      </c>
    </row>
    <row r="15" spans="1:49">
      <c r="A15" s="580"/>
      <c r="B15" s="581"/>
      <c r="C15" s="51">
        <f>1+C14</f>
        <v>2</v>
      </c>
      <c r="D15" s="8" t="s">
        <v>139</v>
      </c>
      <c r="E15" s="1">
        <v>1600</v>
      </c>
      <c r="F15" s="1">
        <v>1</v>
      </c>
      <c r="G15" s="65">
        <f t="shared" si="0"/>
        <v>1600</v>
      </c>
      <c r="H15" s="66">
        <v>1</v>
      </c>
      <c r="I15" s="65">
        <f t="shared" si="1"/>
        <v>1600</v>
      </c>
      <c r="J15" s="61">
        <v>1</v>
      </c>
      <c r="K15" s="65">
        <f t="shared" ref="K15:K28" si="12">+I15*J15</f>
        <v>1600</v>
      </c>
      <c r="L15" s="53">
        <v>85000</v>
      </c>
      <c r="M15" s="54">
        <f t="shared" si="2"/>
        <v>136000000</v>
      </c>
      <c r="N15" s="3">
        <f>+K15*$N$11</f>
        <v>0</v>
      </c>
      <c r="O15" s="53">
        <f t="shared" si="3"/>
        <v>0</v>
      </c>
      <c r="P15" s="53">
        <f>+M15*$P$11</f>
        <v>0</v>
      </c>
      <c r="Q15" s="53">
        <f>+M15*$Q$11</f>
        <v>612000</v>
      </c>
      <c r="R15" s="55">
        <f>SUM(N15:Q15)</f>
        <v>612000</v>
      </c>
      <c r="S15" s="3">
        <f t="shared" ref="S15:S28" si="13">ROUND((+M15+R15)/(1-$S$11),-3)</f>
        <v>191602000</v>
      </c>
      <c r="T15" s="53">
        <f t="shared" ref="T15:T28" si="14">+S15*$T$10</f>
        <v>30656320</v>
      </c>
      <c r="U15" s="53">
        <f t="shared" ref="U15:U28" si="15">+S15*$U$10</f>
        <v>958010</v>
      </c>
      <c r="V15" s="53">
        <f t="shared" si="4"/>
        <v>2299224</v>
      </c>
      <c r="W15" s="53">
        <f t="shared" si="5"/>
        <v>3968882.1483999998</v>
      </c>
      <c r="X15" s="53">
        <f t="shared" si="6"/>
        <v>5748060</v>
      </c>
      <c r="Y15" s="67">
        <f t="shared" si="7"/>
        <v>43630496.148400001</v>
      </c>
      <c r="Z15" s="56">
        <f>ROUND((+Y15+R15+M15)/(1-$Z$11),0)-3</f>
        <v>247213393</v>
      </c>
      <c r="AA15" s="3">
        <f t="shared" si="8"/>
        <v>66970897</v>
      </c>
      <c r="AB15" s="57">
        <f t="shared" ref="AB15:AB28" si="16">+AA15/Z15</f>
        <v>0.27090319091247617</v>
      </c>
      <c r="AC15" s="56">
        <f t="shared" si="9"/>
        <v>136000000</v>
      </c>
      <c r="AD15" s="3">
        <f t="shared" si="10"/>
        <v>612000</v>
      </c>
      <c r="AE15" s="3">
        <f t="shared" ref="AE15:AE28" si="17">+Y15</f>
        <v>43630496.148400001</v>
      </c>
      <c r="AF15" s="58">
        <f t="shared" ref="AF15:AF28" si="18">+AA15</f>
        <v>66970897</v>
      </c>
      <c r="AG15" s="68">
        <f t="shared" si="11"/>
        <v>-0.14840000122785568</v>
      </c>
      <c r="AI15" s="3">
        <f>+K15*(165380*1.062)</f>
        <v>281013696</v>
      </c>
      <c r="AJ15" s="69">
        <f t="shared" ref="AJ15:AJ28" si="19">+AI15/K15</f>
        <v>175633.56</v>
      </c>
      <c r="AK15" s="179">
        <f>+AI15/$AI$31</f>
        <v>9.859535971460491E-2</v>
      </c>
      <c r="AM15" s="3">
        <f>+AI15-Z15</f>
        <v>33800303</v>
      </c>
      <c r="AN15" s="3"/>
      <c r="AR15" s="53">
        <f t="shared" ref="AR15:AR28" si="20">+L15</f>
        <v>85000</v>
      </c>
      <c r="AS15" s="53">
        <v>80000</v>
      </c>
      <c r="AT15" s="53">
        <f t="shared" ref="AT15:AT28" si="21">+AR15-AS15</f>
        <v>5000</v>
      </c>
      <c r="AU15" s="10">
        <f>+AT15/AS15</f>
        <v>6.25E-2</v>
      </c>
      <c r="AV15" s="3">
        <f t="shared" ref="AV15:AV28" si="22">+AR15*E15</f>
        <v>136000000</v>
      </c>
      <c r="AW15" s="3">
        <f t="shared" ref="AW15:AW28" si="23">+AS15*E15</f>
        <v>128000000</v>
      </c>
    </row>
    <row r="16" spans="1:49">
      <c r="A16" s="580"/>
      <c r="B16" s="581"/>
      <c r="C16" s="51"/>
      <c r="D16" s="8" t="s">
        <v>140</v>
      </c>
      <c r="E16" s="1">
        <v>630</v>
      </c>
      <c r="F16" s="1">
        <v>1</v>
      </c>
      <c r="G16" s="65">
        <f t="shared" ref="G16" si="24">+E16/F16</f>
        <v>630</v>
      </c>
      <c r="H16" s="66">
        <v>1</v>
      </c>
      <c r="I16" s="65">
        <f t="shared" ref="I16" si="25">+G16*H16</f>
        <v>630</v>
      </c>
      <c r="J16" s="61">
        <v>1</v>
      </c>
      <c r="K16" s="65">
        <f t="shared" ref="K16" si="26">+I16*J16</f>
        <v>630</v>
      </c>
      <c r="L16" s="53">
        <v>95000</v>
      </c>
      <c r="M16" s="54">
        <f t="shared" ref="M16" si="27">+K16*L16</f>
        <v>59850000</v>
      </c>
      <c r="N16" s="3">
        <f>+K16*$N$11</f>
        <v>0</v>
      </c>
      <c r="O16" s="53">
        <f t="shared" ref="O16" si="28">+M16*$O$11</f>
        <v>0</v>
      </c>
      <c r="P16" s="53">
        <f>+M16*$P$11</f>
        <v>0</v>
      </c>
      <c r="Q16" s="53">
        <f>+M16*$Q$11</f>
        <v>269325</v>
      </c>
      <c r="R16" s="55">
        <f>SUM(N16:Q16)</f>
        <v>269325</v>
      </c>
      <c r="S16" s="3">
        <f t="shared" ref="S16" si="29">ROUND((+M16+R16)/(1-$S$11),-3)</f>
        <v>84319000</v>
      </c>
      <c r="T16" s="53">
        <f t="shared" ref="T16" si="30">+S16*$T$10</f>
        <v>13491040</v>
      </c>
      <c r="U16" s="53">
        <f t="shared" ref="U16" si="31">+S16*$U$10</f>
        <v>421595</v>
      </c>
      <c r="V16" s="53">
        <f t="shared" ref="V16" si="32">+S16*$V$10</f>
        <v>1011828</v>
      </c>
      <c r="W16" s="53">
        <f t="shared" ref="W16" si="33">+S16*$W$10</f>
        <v>1746600.6298</v>
      </c>
      <c r="X16" s="53">
        <f t="shared" ref="X16" si="34">+S16*$X$10</f>
        <v>2529570</v>
      </c>
      <c r="Y16" s="67">
        <f t="shared" ref="Y16" si="35">SUM(T16:X16)</f>
        <v>19200633.629799999</v>
      </c>
      <c r="Z16" s="56">
        <f t="shared" ref="Z16" si="36">ROUND((+Y16+R16+M16)/(1-$Z$10),0)</f>
        <v>101276890</v>
      </c>
      <c r="AA16" s="3">
        <f t="shared" ref="AA16" si="37">ROUND((+Z16-Y16-R16-M16),0)</f>
        <v>21956931</v>
      </c>
      <c r="AB16" s="57">
        <f t="shared" ref="AB16" si="38">+AA16/Z16</f>
        <v>0.21680099971474243</v>
      </c>
      <c r="AC16" s="56">
        <f t="shared" ref="AC16" si="39">+M16</f>
        <v>59850000</v>
      </c>
      <c r="AD16" s="3">
        <f t="shared" ref="AD16" si="40">+R16</f>
        <v>269325</v>
      </c>
      <c r="AE16" s="3">
        <f t="shared" ref="AE16" si="41">+Y16</f>
        <v>19200633.629799999</v>
      </c>
      <c r="AF16" s="58">
        <f t="shared" ref="AF16" si="42">+AA16</f>
        <v>21956931</v>
      </c>
      <c r="AG16" s="68">
        <f t="shared" ref="AG16" si="43">+Z16-AC16-AD16-AE16-AF16</f>
        <v>0.37020000070333481</v>
      </c>
      <c r="AI16" s="3">
        <f>+K16*(210000*1.062)</f>
        <v>140502600</v>
      </c>
      <c r="AJ16" s="69">
        <f>+AI16/K16</f>
        <v>223020</v>
      </c>
      <c r="AK16" s="179">
        <f>+AI16/$AI$31</f>
        <v>4.929618942073645E-2</v>
      </c>
      <c r="AM16" s="3"/>
      <c r="AN16" s="3"/>
      <c r="AR16" s="53">
        <f t="shared" si="20"/>
        <v>95000</v>
      </c>
      <c r="AS16" s="53">
        <v>80000</v>
      </c>
      <c r="AT16" s="53">
        <f t="shared" si="21"/>
        <v>15000</v>
      </c>
      <c r="AU16" s="10">
        <f t="shared" ref="AU16:AU28" si="44">+AT16/AS16</f>
        <v>0.1875</v>
      </c>
      <c r="AV16" s="3">
        <f t="shared" si="22"/>
        <v>59850000</v>
      </c>
      <c r="AW16" s="3">
        <f t="shared" si="23"/>
        <v>50400000</v>
      </c>
    </row>
    <row r="17" spans="1:50">
      <c r="A17" s="580"/>
      <c r="B17" s="581"/>
      <c r="C17" s="51">
        <f>1+C15</f>
        <v>3</v>
      </c>
      <c r="D17" s="8" t="s">
        <v>57</v>
      </c>
      <c r="E17" s="1">
        <f>426*0</f>
        <v>0</v>
      </c>
      <c r="F17" s="1">
        <v>1</v>
      </c>
      <c r="G17" s="65">
        <f t="shared" si="0"/>
        <v>0</v>
      </c>
      <c r="H17" s="66">
        <v>1</v>
      </c>
      <c r="I17" s="65">
        <f t="shared" si="1"/>
        <v>0</v>
      </c>
      <c r="J17" s="61">
        <v>1</v>
      </c>
      <c r="K17" s="65">
        <f t="shared" si="12"/>
        <v>0</v>
      </c>
      <c r="L17" s="53">
        <v>100000</v>
      </c>
      <c r="M17" s="54">
        <f t="shared" si="2"/>
        <v>0</v>
      </c>
      <c r="N17" s="3">
        <f>+K17*$N$11</f>
        <v>0</v>
      </c>
      <c r="O17" s="53">
        <f t="shared" si="3"/>
        <v>0</v>
      </c>
      <c r="P17" s="53">
        <f>+M17*$P$11</f>
        <v>0</v>
      </c>
      <c r="Q17" s="53">
        <f>+M17*$Q$11</f>
        <v>0</v>
      </c>
      <c r="R17" s="55">
        <f>SUM(N17:Q17)</f>
        <v>0</v>
      </c>
      <c r="S17" s="3">
        <f t="shared" si="13"/>
        <v>0</v>
      </c>
      <c r="T17" s="53">
        <f t="shared" si="14"/>
        <v>0</v>
      </c>
      <c r="U17" s="53">
        <f t="shared" si="15"/>
        <v>0</v>
      </c>
      <c r="V17" s="53">
        <f t="shared" si="4"/>
        <v>0</v>
      </c>
      <c r="W17" s="53">
        <f t="shared" si="5"/>
        <v>0</v>
      </c>
      <c r="X17" s="53">
        <f t="shared" si="6"/>
        <v>0</v>
      </c>
      <c r="Y17" s="67">
        <f t="shared" si="7"/>
        <v>0</v>
      </c>
      <c r="Z17" s="56">
        <f t="shared" ref="Z17:Z28" si="45">ROUND((+Y17+R17+M17)/(1-$Z$10),0)</f>
        <v>0</v>
      </c>
      <c r="AA17" s="3">
        <f t="shared" si="8"/>
        <v>0</v>
      </c>
      <c r="AB17" s="57" t="e">
        <f t="shared" si="16"/>
        <v>#DIV/0!</v>
      </c>
      <c r="AC17" s="56">
        <f t="shared" si="9"/>
        <v>0</v>
      </c>
      <c r="AD17" s="3">
        <f t="shared" si="10"/>
        <v>0</v>
      </c>
      <c r="AE17" s="3">
        <f t="shared" si="17"/>
        <v>0</v>
      </c>
      <c r="AF17" s="58">
        <f t="shared" si="18"/>
        <v>0</v>
      </c>
      <c r="AG17" s="68">
        <f t="shared" si="11"/>
        <v>0</v>
      </c>
      <c r="AI17" s="3">
        <f>+K17*(175380*1.0677)</f>
        <v>0</v>
      </c>
      <c r="AJ17" s="70" t="e">
        <f t="shared" si="19"/>
        <v>#DIV/0!</v>
      </c>
      <c r="AK17" s="179">
        <f>+AI17/$AI$31</f>
        <v>0</v>
      </c>
      <c r="AM17" s="3"/>
      <c r="AN17" s="3"/>
      <c r="AR17" s="53">
        <f t="shared" si="20"/>
        <v>100000</v>
      </c>
      <c r="AS17" s="53">
        <v>80000</v>
      </c>
      <c r="AT17" s="53">
        <f t="shared" si="21"/>
        <v>20000</v>
      </c>
      <c r="AU17" s="10">
        <f t="shared" si="44"/>
        <v>0.25</v>
      </c>
      <c r="AV17" s="3">
        <f t="shared" si="22"/>
        <v>0</v>
      </c>
      <c r="AW17" s="3">
        <f t="shared" si="23"/>
        <v>0</v>
      </c>
    </row>
    <row r="18" spans="1:50">
      <c r="A18" s="580"/>
      <c r="B18" s="581"/>
      <c r="C18" s="51">
        <f t="shared" ref="C18:C28" si="46">1+C17</f>
        <v>4</v>
      </c>
      <c r="D18" s="8" t="s">
        <v>58</v>
      </c>
      <c r="E18" s="1">
        <v>1142</v>
      </c>
      <c r="F18" s="1">
        <v>1</v>
      </c>
      <c r="G18" s="65">
        <f t="shared" si="0"/>
        <v>1142</v>
      </c>
      <c r="H18" s="66">
        <v>1</v>
      </c>
      <c r="I18" s="65">
        <f t="shared" si="1"/>
        <v>1142</v>
      </c>
      <c r="J18" s="61">
        <v>1</v>
      </c>
      <c r="K18" s="65">
        <f t="shared" si="12"/>
        <v>1142</v>
      </c>
      <c r="L18" s="53">
        <v>100000</v>
      </c>
      <c r="M18" s="54">
        <f t="shared" si="2"/>
        <v>114200000</v>
      </c>
      <c r="N18" s="3">
        <f t="shared" ref="N18:N29" si="47">+K18*$N$11</f>
        <v>0</v>
      </c>
      <c r="O18" s="53">
        <f t="shared" si="3"/>
        <v>0</v>
      </c>
      <c r="P18" s="53">
        <f t="shared" ref="P18:P28" si="48">+M18*$P$11</f>
        <v>0</v>
      </c>
      <c r="Q18" s="53">
        <f>+M18*$Q$11</f>
        <v>513899.99999999994</v>
      </c>
      <c r="R18" s="55">
        <f t="shared" ref="R18:R28" si="49">SUM(N18:Q18)</f>
        <v>513899.99999999994</v>
      </c>
      <c r="S18" s="3">
        <f t="shared" si="13"/>
        <v>160889000</v>
      </c>
      <c r="T18" s="53">
        <f t="shared" si="14"/>
        <v>25742240</v>
      </c>
      <c r="U18" s="53">
        <f t="shared" si="15"/>
        <v>804445</v>
      </c>
      <c r="V18" s="53">
        <f t="shared" si="4"/>
        <v>1930668</v>
      </c>
      <c r="W18" s="53">
        <f t="shared" si="5"/>
        <v>3332686.9238</v>
      </c>
      <c r="X18" s="53">
        <f t="shared" si="6"/>
        <v>4826670</v>
      </c>
      <c r="Y18" s="67">
        <f t="shared" si="7"/>
        <v>36636709.923799999</v>
      </c>
      <c r="Z18" s="56">
        <f t="shared" si="45"/>
        <v>193246684</v>
      </c>
      <c r="AA18" s="3">
        <f t="shared" si="8"/>
        <v>41896074</v>
      </c>
      <c r="AB18" s="57">
        <f t="shared" si="16"/>
        <v>0.21680099825154051</v>
      </c>
      <c r="AC18" s="56">
        <f t="shared" si="9"/>
        <v>114200000</v>
      </c>
      <c r="AD18" s="3">
        <f t="shared" si="10"/>
        <v>513899.99999999994</v>
      </c>
      <c r="AE18" s="3">
        <f t="shared" si="17"/>
        <v>36636709.923799999</v>
      </c>
      <c r="AF18" s="58">
        <f t="shared" si="18"/>
        <v>41896074</v>
      </c>
      <c r="AG18" s="68">
        <f t="shared" si="11"/>
        <v>7.6200000941753387E-2</v>
      </c>
      <c r="AI18" s="3">
        <f>+K18*(165380*1.062)</f>
        <v>200573525.52000001</v>
      </c>
      <c r="AJ18" s="3">
        <f t="shared" si="19"/>
        <v>175633.56</v>
      </c>
      <c r="AK18" s="179">
        <f>+AI18/$AI$31</f>
        <v>7.0372437996299261E-2</v>
      </c>
      <c r="AM18" s="3"/>
      <c r="AN18" s="3">
        <f>90000*1497</f>
        <v>134730000</v>
      </c>
      <c r="AR18" s="53">
        <f t="shared" si="20"/>
        <v>100000</v>
      </c>
      <c r="AS18" s="53">
        <v>80000</v>
      </c>
      <c r="AT18" s="53">
        <f t="shared" si="21"/>
        <v>20000</v>
      </c>
      <c r="AU18" s="10">
        <f t="shared" si="44"/>
        <v>0.25</v>
      </c>
      <c r="AV18" s="3">
        <f t="shared" si="22"/>
        <v>114200000</v>
      </c>
      <c r="AW18" s="3">
        <f t="shared" si="23"/>
        <v>91360000</v>
      </c>
    </row>
    <row r="19" spans="1:50">
      <c r="A19" s="580"/>
      <c r="B19" s="581"/>
      <c r="C19" s="51">
        <f>1+C18</f>
        <v>5</v>
      </c>
      <c r="D19" s="8" t="s">
        <v>59</v>
      </c>
      <c r="E19" s="1">
        <v>2332</v>
      </c>
      <c r="F19" s="1">
        <v>1</v>
      </c>
      <c r="G19" s="65">
        <f t="shared" si="0"/>
        <v>2332</v>
      </c>
      <c r="H19" s="66">
        <v>1</v>
      </c>
      <c r="I19" s="65">
        <f t="shared" si="1"/>
        <v>2332</v>
      </c>
      <c r="J19" s="61">
        <v>1</v>
      </c>
      <c r="K19" s="65">
        <f t="shared" si="12"/>
        <v>2332</v>
      </c>
      <c r="L19" s="53">
        <v>90000</v>
      </c>
      <c r="M19" s="54">
        <f t="shared" si="2"/>
        <v>209880000</v>
      </c>
      <c r="N19" s="3">
        <f t="shared" si="47"/>
        <v>0</v>
      </c>
      <c r="O19" s="53">
        <f t="shared" si="3"/>
        <v>0</v>
      </c>
      <c r="P19" s="53">
        <f t="shared" si="48"/>
        <v>0</v>
      </c>
      <c r="Q19" s="53">
        <f t="shared" ref="Q19:Q28" si="50">+M19*$Q$11</f>
        <v>944459.99999999988</v>
      </c>
      <c r="R19" s="55">
        <f t="shared" si="49"/>
        <v>944459.99999999988</v>
      </c>
      <c r="S19" s="3">
        <f t="shared" si="13"/>
        <v>295686000</v>
      </c>
      <c r="T19" s="53">
        <f t="shared" si="14"/>
        <v>47309760</v>
      </c>
      <c r="U19" s="53">
        <f t="shared" si="15"/>
        <v>1478430</v>
      </c>
      <c r="V19" s="53">
        <f t="shared" si="4"/>
        <v>3548232</v>
      </c>
      <c r="W19" s="53">
        <f t="shared" si="5"/>
        <v>6124898.9411999993</v>
      </c>
      <c r="X19" s="53">
        <f t="shared" si="6"/>
        <v>8870580</v>
      </c>
      <c r="Y19" s="67">
        <f t="shared" si="7"/>
        <v>67331900.941200003</v>
      </c>
      <c r="Z19" s="56">
        <f t="shared" si="45"/>
        <v>355154132</v>
      </c>
      <c r="AA19" s="3">
        <f t="shared" si="8"/>
        <v>76997771</v>
      </c>
      <c r="AB19" s="57">
        <f t="shared" si="16"/>
        <v>0.2168010000795936</v>
      </c>
      <c r="AC19" s="56">
        <f t="shared" si="9"/>
        <v>209880000</v>
      </c>
      <c r="AD19" s="3">
        <f t="shared" si="10"/>
        <v>944459.99999999988</v>
      </c>
      <c r="AE19" s="3">
        <f t="shared" si="17"/>
        <v>67331900.941200003</v>
      </c>
      <c r="AF19" s="58">
        <f t="shared" si="18"/>
        <v>76997771</v>
      </c>
      <c r="AG19" s="68">
        <f t="shared" si="11"/>
        <v>5.8799996972084045E-2</v>
      </c>
      <c r="AI19" s="3">
        <f>+K19*(175380*1.062)</f>
        <v>434343301.92000002</v>
      </c>
      <c r="AJ19" s="70">
        <f>+AI19/K19</f>
        <v>186253.56</v>
      </c>
      <c r="AK19" s="179">
        <f>+AI19/$AI$31</f>
        <v>0.15239198196386716</v>
      </c>
      <c r="AL19" s="1">
        <f>185499+90000</f>
        <v>275499</v>
      </c>
      <c r="AM19" s="3">
        <f>+AL19*2</f>
        <v>550998</v>
      </c>
      <c r="AR19" s="53">
        <f t="shared" si="20"/>
        <v>90000</v>
      </c>
      <c r="AS19" s="53">
        <v>80000</v>
      </c>
      <c r="AT19" s="53">
        <f t="shared" si="21"/>
        <v>10000</v>
      </c>
      <c r="AU19" s="10">
        <f t="shared" si="44"/>
        <v>0.125</v>
      </c>
      <c r="AV19" s="3">
        <f t="shared" si="22"/>
        <v>209880000</v>
      </c>
      <c r="AW19" s="3">
        <f t="shared" si="23"/>
        <v>186560000</v>
      </c>
    </row>
    <row r="20" spans="1:50" ht="22.5">
      <c r="A20" s="580"/>
      <c r="B20" s="581"/>
      <c r="C20" s="51"/>
      <c r="D20" s="8" t="s">
        <v>60</v>
      </c>
      <c r="E20" s="1">
        <v>245</v>
      </c>
      <c r="F20" s="1">
        <v>1</v>
      </c>
      <c r="G20" s="65">
        <f t="shared" si="0"/>
        <v>245</v>
      </c>
      <c r="H20" s="66">
        <v>1</v>
      </c>
      <c r="I20" s="65">
        <f t="shared" si="1"/>
        <v>245</v>
      </c>
      <c r="J20" s="61">
        <v>2</v>
      </c>
      <c r="K20" s="65">
        <f>+I20*J20</f>
        <v>490</v>
      </c>
      <c r="L20" s="53">
        <v>53721.438999999998</v>
      </c>
      <c r="M20" s="54">
        <f>+K20*L20</f>
        <v>26323505.109999999</v>
      </c>
      <c r="N20" s="3">
        <v>0</v>
      </c>
      <c r="O20" s="53">
        <f t="shared" si="3"/>
        <v>0</v>
      </c>
      <c r="P20" s="53">
        <f>+M20*$P$11</f>
        <v>0</v>
      </c>
      <c r="Q20" s="53">
        <f t="shared" si="50"/>
        <v>118455.77299499999</v>
      </c>
      <c r="R20" s="55">
        <f>SUM(N20:Q20)</f>
        <v>118455.77299499999</v>
      </c>
      <c r="S20" s="3">
        <f>ROUND((+M20+R20)/(1-$S$11),-3)</f>
        <v>37085000</v>
      </c>
      <c r="T20" s="53">
        <f>+S20*$T$10</f>
        <v>5933600</v>
      </c>
      <c r="U20" s="53">
        <f t="shared" si="15"/>
        <v>185425</v>
      </c>
      <c r="V20" s="53">
        <f t="shared" si="4"/>
        <v>445020</v>
      </c>
      <c r="W20" s="53">
        <f t="shared" si="5"/>
        <v>768186.10699999996</v>
      </c>
      <c r="X20" s="53">
        <f t="shared" si="6"/>
        <v>1112550</v>
      </c>
      <c r="Y20" s="67">
        <f t="shared" si="7"/>
        <v>8444781.1070000008</v>
      </c>
      <c r="Z20" s="181">
        <f>ROUND((+Y20+R20+M20)/(1-$Z$10),0)*1.15</f>
        <v>51225490.749999993</v>
      </c>
      <c r="AA20" s="3">
        <f t="shared" si="8"/>
        <v>16338749</v>
      </c>
      <c r="AB20" s="57">
        <f t="shared" si="16"/>
        <v>0.31895739329739858</v>
      </c>
      <c r="AC20" s="56">
        <f t="shared" si="9"/>
        <v>26323505.109999999</v>
      </c>
      <c r="AD20" s="3">
        <f t="shared" si="10"/>
        <v>118455.77299499999</v>
      </c>
      <c r="AE20" s="3">
        <f t="shared" si="17"/>
        <v>8444781.1070000008</v>
      </c>
      <c r="AF20" s="58">
        <f t="shared" si="18"/>
        <v>16338749</v>
      </c>
      <c r="AG20" s="68">
        <f t="shared" si="11"/>
        <v>-0.23999500647187233</v>
      </c>
      <c r="AI20" s="3">
        <v>49000000</v>
      </c>
      <c r="AJ20" s="70">
        <f>+AI20/245</f>
        <v>200000</v>
      </c>
      <c r="AK20" s="179"/>
      <c r="AL20" s="53">
        <f>+AL19</f>
        <v>275499</v>
      </c>
      <c r="AM20" s="3">
        <f>+AL20*4</f>
        <v>1101996</v>
      </c>
      <c r="AN20" s="180">
        <f>+Z20/245</f>
        <v>209083.63571428569</v>
      </c>
      <c r="AO20" s="1">
        <f>+AJ19*2</f>
        <v>372507.12</v>
      </c>
      <c r="AP20" s="3">
        <f>+AJ20*245</f>
        <v>49000000</v>
      </c>
      <c r="AQ20" s="3">
        <f>+Z20-AP20</f>
        <v>2225490.7499999925</v>
      </c>
      <c r="AR20" s="53">
        <f t="shared" si="20"/>
        <v>53721.438999999998</v>
      </c>
      <c r="AS20" s="53">
        <v>0</v>
      </c>
      <c r="AT20" s="53">
        <v>0</v>
      </c>
      <c r="AU20" s="10">
        <v>0</v>
      </c>
      <c r="AV20" s="3">
        <v>0</v>
      </c>
      <c r="AW20" s="3">
        <f t="shared" si="23"/>
        <v>0</v>
      </c>
    </row>
    <row r="21" spans="1:50" ht="22.5">
      <c r="A21" s="580"/>
      <c r="B21" s="581"/>
      <c r="C21" s="51"/>
      <c r="D21" s="8" t="s">
        <v>61</v>
      </c>
      <c r="E21" s="1">
        <v>245</v>
      </c>
      <c r="F21" s="1">
        <v>1</v>
      </c>
      <c r="G21" s="65">
        <f t="shared" si="0"/>
        <v>245</v>
      </c>
      <c r="H21" s="66">
        <v>1</v>
      </c>
      <c r="I21" s="65">
        <f t="shared" si="1"/>
        <v>245</v>
      </c>
      <c r="J21" s="61">
        <v>4</v>
      </c>
      <c r="K21" s="65">
        <f t="shared" si="12"/>
        <v>980</v>
      </c>
      <c r="L21" s="53">
        <f>+L20</f>
        <v>53721.438999999998</v>
      </c>
      <c r="M21" s="54">
        <f t="shared" ref="M21:M22" si="51">+K21*L21</f>
        <v>52647010.219999999</v>
      </c>
      <c r="N21" s="3">
        <v>0</v>
      </c>
      <c r="O21" s="53">
        <f t="shared" si="3"/>
        <v>0</v>
      </c>
      <c r="P21" s="53">
        <f t="shared" ref="P21:P22" si="52">+M21*$P$11</f>
        <v>0</v>
      </c>
      <c r="Q21" s="53">
        <f t="shared" si="50"/>
        <v>236911.54598999998</v>
      </c>
      <c r="R21" s="55">
        <f>SUM(N21:Q21)</f>
        <v>236911.54598999998</v>
      </c>
      <c r="S21" s="3">
        <f>ROUND((+M21+R21)/(1-$S$11),-3)</f>
        <v>74171000</v>
      </c>
      <c r="T21" s="53">
        <f>+S21*$T$10</f>
        <v>11867360</v>
      </c>
      <c r="U21" s="53">
        <f t="shared" si="15"/>
        <v>370855</v>
      </c>
      <c r="V21" s="53">
        <f t="shared" si="4"/>
        <v>890052</v>
      </c>
      <c r="W21" s="53">
        <f t="shared" si="5"/>
        <v>1536392.9282</v>
      </c>
      <c r="X21" s="53">
        <f t="shared" si="6"/>
        <v>2225130</v>
      </c>
      <c r="Y21" s="67">
        <f>SUM(T21:X21)</f>
        <v>16889789.928199999</v>
      </c>
      <c r="Z21" s="181">
        <f>ROUND((+Y21+R21+M21)/(1-$Z$10),0)*1.15</f>
        <v>102451316.14999999</v>
      </c>
      <c r="AA21" s="3">
        <f>ROUND((+Z21-Y21-R21-M21),0)</f>
        <v>32677604</v>
      </c>
      <c r="AB21" s="57">
        <f t="shared" si="16"/>
        <v>0.31895738608332169</v>
      </c>
      <c r="AC21" s="56">
        <f t="shared" si="9"/>
        <v>52647010.219999999</v>
      </c>
      <c r="AD21" s="3">
        <f t="shared" si="10"/>
        <v>236911.54598999998</v>
      </c>
      <c r="AE21" s="3">
        <f t="shared" si="17"/>
        <v>16889789.928199999</v>
      </c>
      <c r="AF21" s="58">
        <f t="shared" si="18"/>
        <v>32677604</v>
      </c>
      <c r="AG21" s="68">
        <f t="shared" si="11"/>
        <v>0.45580999553203583</v>
      </c>
      <c r="AI21" s="3">
        <v>98000000</v>
      </c>
      <c r="AJ21" s="70">
        <f>+AI21/245</f>
        <v>400000</v>
      </c>
      <c r="AK21" s="179"/>
      <c r="AL21" s="1">
        <f>+AL19</f>
        <v>275499</v>
      </c>
      <c r="AM21" s="3">
        <f>+AM19</f>
        <v>550998</v>
      </c>
      <c r="AN21" s="180">
        <f>+Z21/245</f>
        <v>418168.63734693872</v>
      </c>
      <c r="AO21" s="1">
        <f>+AJ20*2</f>
        <v>400000</v>
      </c>
      <c r="AP21" s="3">
        <f>+AJ21*245</f>
        <v>98000000</v>
      </c>
      <c r="AQ21" s="3">
        <f>+Z21-AP21</f>
        <v>4451316.1499999911</v>
      </c>
      <c r="AR21" s="53">
        <f t="shared" si="20"/>
        <v>53721.438999999998</v>
      </c>
      <c r="AS21" s="53">
        <v>0</v>
      </c>
      <c r="AT21" s="53">
        <v>0</v>
      </c>
      <c r="AU21" s="10">
        <v>0</v>
      </c>
      <c r="AV21" s="3">
        <v>0</v>
      </c>
      <c r="AW21" s="3">
        <f t="shared" si="23"/>
        <v>0</v>
      </c>
    </row>
    <row r="22" spans="1:50" ht="22.5">
      <c r="A22" s="580"/>
      <c r="B22" s="581"/>
      <c r="C22" s="51"/>
      <c r="D22" s="8" t="s">
        <v>62</v>
      </c>
      <c r="E22" s="1">
        <v>245</v>
      </c>
      <c r="F22" s="1">
        <v>1</v>
      </c>
      <c r="G22" s="65">
        <f t="shared" si="0"/>
        <v>245</v>
      </c>
      <c r="H22" s="66">
        <v>1</v>
      </c>
      <c r="I22" s="65">
        <f t="shared" si="1"/>
        <v>245</v>
      </c>
      <c r="J22" s="61">
        <v>2</v>
      </c>
      <c r="K22" s="65">
        <f t="shared" si="12"/>
        <v>490</v>
      </c>
      <c r="L22" s="53">
        <f>+L21</f>
        <v>53721.438999999998</v>
      </c>
      <c r="M22" s="54">
        <f t="shared" si="51"/>
        <v>26323505.109999999</v>
      </c>
      <c r="N22" s="3">
        <f>+N20</f>
        <v>0</v>
      </c>
      <c r="O22" s="53">
        <f t="shared" si="3"/>
        <v>0</v>
      </c>
      <c r="P22" s="53">
        <f t="shared" si="52"/>
        <v>0</v>
      </c>
      <c r="Q22" s="53">
        <f t="shared" si="50"/>
        <v>118455.77299499999</v>
      </c>
      <c r="R22" s="55">
        <f t="shared" ref="R22" si="53">SUM(N22:Q22)</f>
        <v>118455.77299499999</v>
      </c>
      <c r="S22" s="3">
        <f t="shared" ref="S22" si="54">ROUND((+M22+R22)/(1-$S$11),-3)</f>
        <v>37085000</v>
      </c>
      <c r="T22" s="53">
        <f t="shared" ref="T22" si="55">+S22*$T$10</f>
        <v>5933600</v>
      </c>
      <c r="U22" s="53">
        <f t="shared" si="15"/>
        <v>185425</v>
      </c>
      <c r="V22" s="53">
        <f t="shared" si="4"/>
        <v>445020</v>
      </c>
      <c r="W22" s="53">
        <f t="shared" si="5"/>
        <v>768186.10699999996</v>
      </c>
      <c r="X22" s="53">
        <f t="shared" si="6"/>
        <v>1112550</v>
      </c>
      <c r="Y22" s="67">
        <f t="shared" si="7"/>
        <v>8444781.1070000008</v>
      </c>
      <c r="Z22" s="181">
        <f>ROUND((+Y22+R22+M22)/(1-$Z$10),0)*1.15</f>
        <v>51225490.749999993</v>
      </c>
      <c r="AA22" s="3">
        <f t="shared" si="8"/>
        <v>16338749</v>
      </c>
      <c r="AB22" s="57">
        <f t="shared" si="16"/>
        <v>0.31895739329739858</v>
      </c>
      <c r="AC22" s="56">
        <f t="shared" si="9"/>
        <v>26323505.109999999</v>
      </c>
      <c r="AD22" s="3">
        <f t="shared" si="10"/>
        <v>118455.77299499999</v>
      </c>
      <c r="AE22" s="3">
        <f t="shared" si="17"/>
        <v>8444781.1070000008</v>
      </c>
      <c r="AF22" s="58">
        <f t="shared" si="18"/>
        <v>16338749</v>
      </c>
      <c r="AG22" s="68">
        <f t="shared" si="11"/>
        <v>-0.23999500647187233</v>
      </c>
      <c r="AI22" s="3">
        <v>49000000</v>
      </c>
      <c r="AJ22" s="70">
        <v>200000</v>
      </c>
      <c r="AK22" s="179"/>
      <c r="AM22" s="3"/>
      <c r="AN22" s="180">
        <f>+Z22/245</f>
        <v>209083.63571428569</v>
      </c>
      <c r="AO22" s="1">
        <f>+AJ21*2</f>
        <v>800000</v>
      </c>
      <c r="AP22" s="3">
        <f>+AJ22*245</f>
        <v>49000000</v>
      </c>
      <c r="AQ22" s="3">
        <f>+Z22-AP22</f>
        <v>2225490.7499999925</v>
      </c>
      <c r="AR22" s="53">
        <f t="shared" si="20"/>
        <v>53721.438999999998</v>
      </c>
      <c r="AS22" s="53">
        <v>0</v>
      </c>
      <c r="AT22" s="53">
        <v>0</v>
      </c>
      <c r="AU22" s="10">
        <v>0</v>
      </c>
      <c r="AV22" s="3">
        <v>0</v>
      </c>
      <c r="AW22" s="3">
        <f t="shared" si="23"/>
        <v>0</v>
      </c>
    </row>
    <row r="23" spans="1:50">
      <c r="A23" s="580"/>
      <c r="B23" s="581"/>
      <c r="C23" s="51">
        <f>1+C19</f>
        <v>6</v>
      </c>
      <c r="D23" s="8" t="s">
        <v>63</v>
      </c>
      <c r="E23" s="1">
        <v>1972</v>
      </c>
      <c r="F23" s="1">
        <v>1</v>
      </c>
      <c r="G23" s="65">
        <f t="shared" si="0"/>
        <v>1972</v>
      </c>
      <c r="H23" s="66">
        <v>1</v>
      </c>
      <c r="I23" s="65">
        <f t="shared" si="1"/>
        <v>1972</v>
      </c>
      <c r="J23" s="61">
        <v>1</v>
      </c>
      <c r="K23" s="65">
        <f>+I23*J23</f>
        <v>1972</v>
      </c>
      <c r="L23" s="53">
        <v>80000</v>
      </c>
      <c r="M23" s="54">
        <f t="shared" si="2"/>
        <v>157760000</v>
      </c>
      <c r="N23" s="3">
        <f t="shared" si="47"/>
        <v>0</v>
      </c>
      <c r="O23" s="53">
        <f t="shared" si="3"/>
        <v>0</v>
      </c>
      <c r="P23" s="53">
        <f t="shared" si="48"/>
        <v>0</v>
      </c>
      <c r="Q23" s="53">
        <f t="shared" si="50"/>
        <v>709920</v>
      </c>
      <c r="R23" s="55">
        <f t="shared" si="49"/>
        <v>709920</v>
      </c>
      <c r="S23" s="3">
        <f t="shared" si="13"/>
        <v>222258000</v>
      </c>
      <c r="T23" s="53">
        <f t="shared" si="14"/>
        <v>35561280</v>
      </c>
      <c r="U23" s="53">
        <f t="shared" si="15"/>
        <v>1111290</v>
      </c>
      <c r="V23" s="53">
        <f t="shared" si="4"/>
        <v>2667096</v>
      </c>
      <c r="W23" s="53">
        <f t="shared" si="5"/>
        <v>4603896.6635999996</v>
      </c>
      <c r="X23" s="53">
        <f t="shared" si="6"/>
        <v>6667740</v>
      </c>
      <c r="Y23" s="67">
        <f t="shared" si="7"/>
        <v>50611302.663599998</v>
      </c>
      <c r="Z23" s="56">
        <f t="shared" si="45"/>
        <v>266957980</v>
      </c>
      <c r="AA23" s="3">
        <f t="shared" si="8"/>
        <v>57876757</v>
      </c>
      <c r="AB23" s="57">
        <f t="shared" si="16"/>
        <v>0.21680099991766494</v>
      </c>
      <c r="AC23" s="56">
        <f t="shared" si="9"/>
        <v>157760000</v>
      </c>
      <c r="AD23" s="3">
        <f t="shared" si="10"/>
        <v>709920</v>
      </c>
      <c r="AE23" s="3">
        <f t="shared" si="17"/>
        <v>50611302.663599998</v>
      </c>
      <c r="AF23" s="58">
        <f t="shared" si="18"/>
        <v>57876757</v>
      </c>
      <c r="AG23" s="68">
        <f t="shared" si="11"/>
        <v>0.33640000224113464</v>
      </c>
      <c r="AI23" s="3">
        <f>+K23*(165380*1.062)</f>
        <v>346349380.31999999</v>
      </c>
      <c r="AJ23" s="3">
        <f t="shared" si="19"/>
        <v>175633.56</v>
      </c>
      <c r="AK23" s="179">
        <f t="shared" ref="AK23:AK31" si="56">+AI23/$AI$31</f>
        <v>0.12151878084825056</v>
      </c>
      <c r="AM23" s="3"/>
      <c r="AN23" s="3"/>
      <c r="AR23" s="53">
        <f t="shared" si="20"/>
        <v>80000</v>
      </c>
      <c r="AS23" s="53">
        <v>80000</v>
      </c>
      <c r="AT23" s="53">
        <f t="shared" si="21"/>
        <v>0</v>
      </c>
      <c r="AU23" s="10">
        <f t="shared" si="44"/>
        <v>0</v>
      </c>
      <c r="AV23" s="3">
        <f t="shared" si="22"/>
        <v>157760000</v>
      </c>
      <c r="AW23" s="3">
        <f t="shared" si="23"/>
        <v>157760000</v>
      </c>
    </row>
    <row r="24" spans="1:50" ht="22.5">
      <c r="A24" s="580"/>
      <c r="B24" s="581"/>
      <c r="C24" s="51">
        <f t="shared" si="46"/>
        <v>7</v>
      </c>
      <c r="D24" s="8" t="s">
        <v>64</v>
      </c>
      <c r="E24" s="1">
        <v>846</v>
      </c>
      <c r="F24" s="1">
        <v>1</v>
      </c>
      <c r="G24" s="65">
        <f t="shared" si="0"/>
        <v>846</v>
      </c>
      <c r="H24" s="66">
        <v>1</v>
      </c>
      <c r="I24" s="65">
        <f t="shared" si="1"/>
        <v>846</v>
      </c>
      <c r="J24" s="61">
        <v>1</v>
      </c>
      <c r="K24" s="65">
        <f t="shared" si="12"/>
        <v>846</v>
      </c>
      <c r="L24" s="53">
        <f>+L23</f>
        <v>80000</v>
      </c>
      <c r="M24" s="54">
        <f t="shared" si="2"/>
        <v>67680000</v>
      </c>
      <c r="N24" s="3">
        <f t="shared" si="47"/>
        <v>0</v>
      </c>
      <c r="O24" s="53">
        <f t="shared" si="3"/>
        <v>0</v>
      </c>
      <c r="P24" s="53">
        <f t="shared" si="48"/>
        <v>0</v>
      </c>
      <c r="Q24" s="53">
        <f t="shared" si="50"/>
        <v>304560</v>
      </c>
      <c r="R24" s="55">
        <f t="shared" si="49"/>
        <v>304560</v>
      </c>
      <c r="S24" s="3">
        <f t="shared" si="13"/>
        <v>95350000</v>
      </c>
      <c r="T24" s="53">
        <f t="shared" si="14"/>
        <v>15256000</v>
      </c>
      <c r="U24" s="53">
        <f t="shared" si="15"/>
        <v>476750</v>
      </c>
      <c r="V24" s="53">
        <f t="shared" si="4"/>
        <v>1144200</v>
      </c>
      <c r="W24" s="53">
        <f t="shared" si="5"/>
        <v>1975098.97</v>
      </c>
      <c r="X24" s="53">
        <f t="shared" si="6"/>
        <v>2860500</v>
      </c>
      <c r="Y24" s="67">
        <f t="shared" si="7"/>
        <v>21712548.969999999</v>
      </c>
      <c r="Z24" s="56">
        <f t="shared" si="45"/>
        <v>114526588</v>
      </c>
      <c r="AA24" s="3">
        <f t="shared" si="8"/>
        <v>24829479</v>
      </c>
      <c r="AB24" s="57">
        <f t="shared" si="16"/>
        <v>0.21680100170276617</v>
      </c>
      <c r="AC24" s="56">
        <f t="shared" si="9"/>
        <v>67680000</v>
      </c>
      <c r="AD24" s="3">
        <f t="shared" si="10"/>
        <v>304560</v>
      </c>
      <c r="AE24" s="3">
        <f t="shared" si="17"/>
        <v>21712548.969999999</v>
      </c>
      <c r="AF24" s="58">
        <f t="shared" si="18"/>
        <v>24829479</v>
      </c>
      <c r="AG24" s="68">
        <f t="shared" si="11"/>
        <v>3.0000001192092896E-2</v>
      </c>
      <c r="AI24" s="3">
        <f>+K24*(165380*1.062)</f>
        <v>148585991.75999999</v>
      </c>
      <c r="AJ24" s="3">
        <f t="shared" si="19"/>
        <v>175633.56</v>
      </c>
      <c r="AK24" s="179">
        <f t="shared" si="56"/>
        <v>5.2132296449097344E-2</v>
      </c>
      <c r="AM24" s="3"/>
      <c r="AN24" s="3"/>
      <c r="AR24" s="53">
        <f t="shared" si="20"/>
        <v>80000</v>
      </c>
      <c r="AS24" s="53">
        <v>80000</v>
      </c>
      <c r="AT24" s="53">
        <f t="shared" si="21"/>
        <v>0</v>
      </c>
      <c r="AU24" s="10">
        <f t="shared" si="44"/>
        <v>0</v>
      </c>
      <c r="AV24" s="3">
        <f t="shared" si="22"/>
        <v>67680000</v>
      </c>
      <c r="AW24" s="3">
        <f t="shared" si="23"/>
        <v>67680000</v>
      </c>
    </row>
    <row r="25" spans="1:50" ht="33.75">
      <c r="A25" s="580"/>
      <c r="B25" s="581"/>
      <c r="C25" s="51">
        <f t="shared" si="46"/>
        <v>8</v>
      </c>
      <c r="D25" s="8" t="s">
        <v>65</v>
      </c>
      <c r="E25" s="1">
        <v>644</v>
      </c>
      <c r="F25" s="1">
        <v>1</v>
      </c>
      <c r="G25" s="65">
        <f t="shared" si="0"/>
        <v>644</v>
      </c>
      <c r="H25" s="66">
        <v>1</v>
      </c>
      <c r="I25" s="65">
        <f t="shared" si="1"/>
        <v>644</v>
      </c>
      <c r="J25" s="61">
        <v>1</v>
      </c>
      <c r="K25" s="65">
        <f t="shared" si="12"/>
        <v>644</v>
      </c>
      <c r="L25" s="53">
        <f>+L24</f>
        <v>80000</v>
      </c>
      <c r="M25" s="54">
        <f t="shared" si="2"/>
        <v>51520000</v>
      </c>
      <c r="N25" s="3">
        <f t="shared" si="47"/>
        <v>0</v>
      </c>
      <c r="O25" s="53">
        <f t="shared" si="3"/>
        <v>0</v>
      </c>
      <c r="P25" s="53">
        <f t="shared" si="48"/>
        <v>0</v>
      </c>
      <c r="Q25" s="53">
        <f t="shared" si="50"/>
        <v>231839.99999999997</v>
      </c>
      <c r="R25" s="55">
        <f t="shared" si="49"/>
        <v>231839.99999999997</v>
      </c>
      <c r="S25" s="3">
        <f t="shared" si="13"/>
        <v>72583000</v>
      </c>
      <c r="T25" s="53">
        <f t="shared" si="14"/>
        <v>11613280</v>
      </c>
      <c r="U25" s="53">
        <f t="shared" si="15"/>
        <v>362915</v>
      </c>
      <c r="V25" s="53">
        <f t="shared" si="4"/>
        <v>870996</v>
      </c>
      <c r="W25" s="53">
        <f t="shared" si="5"/>
        <v>1503498.7785999998</v>
      </c>
      <c r="X25" s="53">
        <f t="shared" si="6"/>
        <v>2177490</v>
      </c>
      <c r="Y25" s="67">
        <f t="shared" si="7"/>
        <v>16528179.7786</v>
      </c>
      <c r="Z25" s="56">
        <f t="shared" si="45"/>
        <v>87180933</v>
      </c>
      <c r="AA25" s="3">
        <f t="shared" si="8"/>
        <v>18900913</v>
      </c>
      <c r="AB25" s="57">
        <f t="shared" si="16"/>
        <v>0.21680099477714926</v>
      </c>
      <c r="AC25" s="56">
        <f t="shared" si="9"/>
        <v>51520000</v>
      </c>
      <c r="AD25" s="3">
        <f t="shared" si="10"/>
        <v>231839.99999999997</v>
      </c>
      <c r="AE25" s="3">
        <f t="shared" si="17"/>
        <v>16528179.7786</v>
      </c>
      <c r="AF25" s="58">
        <f t="shared" si="18"/>
        <v>18900913</v>
      </c>
      <c r="AG25" s="68">
        <f t="shared" si="11"/>
        <v>0.22140000015497208</v>
      </c>
      <c r="AI25" s="3">
        <f>+K25*(165380*1.062)</f>
        <v>113108012.64</v>
      </c>
      <c r="AJ25" s="3">
        <f t="shared" si="19"/>
        <v>175633.56</v>
      </c>
      <c r="AK25" s="179">
        <f t="shared" si="56"/>
        <v>3.9684632285128481E-2</v>
      </c>
      <c r="AM25" s="3"/>
      <c r="AN25" s="3"/>
      <c r="AR25" s="53">
        <f t="shared" si="20"/>
        <v>80000</v>
      </c>
      <c r="AS25" s="53">
        <v>80000</v>
      </c>
      <c r="AT25" s="53">
        <f t="shared" si="21"/>
        <v>0</v>
      </c>
      <c r="AU25" s="10">
        <f t="shared" si="44"/>
        <v>0</v>
      </c>
      <c r="AV25" s="3">
        <f t="shared" si="22"/>
        <v>51520000</v>
      </c>
      <c r="AW25" s="3">
        <f t="shared" si="23"/>
        <v>51520000</v>
      </c>
    </row>
    <row r="26" spans="1:50">
      <c r="A26" s="580"/>
      <c r="B26" s="581"/>
      <c r="C26" s="51">
        <f t="shared" si="46"/>
        <v>9</v>
      </c>
      <c r="D26" s="8" t="s">
        <v>66</v>
      </c>
      <c r="E26" s="1">
        <v>4143</v>
      </c>
      <c r="F26" s="1">
        <v>1</v>
      </c>
      <c r="G26" s="65">
        <f t="shared" si="0"/>
        <v>4143</v>
      </c>
      <c r="H26" s="66">
        <v>1</v>
      </c>
      <c r="I26" s="65">
        <f t="shared" si="1"/>
        <v>4143</v>
      </c>
      <c r="J26" s="61">
        <v>1</v>
      </c>
      <c r="K26" s="65">
        <f t="shared" si="12"/>
        <v>4143</v>
      </c>
      <c r="L26" s="53">
        <f>+L25</f>
        <v>80000</v>
      </c>
      <c r="M26" s="54">
        <f t="shared" si="2"/>
        <v>331440000</v>
      </c>
      <c r="N26" s="3">
        <f t="shared" si="47"/>
        <v>0</v>
      </c>
      <c r="O26" s="53">
        <f t="shared" si="3"/>
        <v>0</v>
      </c>
      <c r="P26" s="53">
        <f t="shared" si="48"/>
        <v>0</v>
      </c>
      <c r="Q26" s="53">
        <f t="shared" si="50"/>
        <v>1491480</v>
      </c>
      <c r="R26" s="55">
        <f t="shared" si="49"/>
        <v>1491480</v>
      </c>
      <c r="S26" s="3">
        <f t="shared" si="13"/>
        <v>466945000</v>
      </c>
      <c r="T26" s="53">
        <f t="shared" si="14"/>
        <v>74711200</v>
      </c>
      <c r="U26" s="53">
        <f t="shared" si="15"/>
        <v>2334725</v>
      </c>
      <c r="V26" s="53">
        <f t="shared" si="4"/>
        <v>5603340</v>
      </c>
      <c r="W26" s="53">
        <f t="shared" si="5"/>
        <v>9672392.118999999</v>
      </c>
      <c r="X26" s="53">
        <f t="shared" si="6"/>
        <v>14008350</v>
      </c>
      <c r="Y26" s="67">
        <f t="shared" si="7"/>
        <v>106330007.119</v>
      </c>
      <c r="Z26" s="56">
        <f t="shared" si="45"/>
        <v>560855526</v>
      </c>
      <c r="AA26" s="3">
        <f t="shared" si="8"/>
        <v>121594039</v>
      </c>
      <c r="AB26" s="57">
        <f t="shared" si="16"/>
        <v>0.2168010001919817</v>
      </c>
      <c r="AC26" s="56">
        <f t="shared" si="9"/>
        <v>331440000</v>
      </c>
      <c r="AD26" s="3">
        <f t="shared" si="10"/>
        <v>1491480</v>
      </c>
      <c r="AE26" s="3">
        <f t="shared" si="17"/>
        <v>106330007.119</v>
      </c>
      <c r="AF26" s="58">
        <f t="shared" si="18"/>
        <v>121594039</v>
      </c>
      <c r="AG26" s="68">
        <f t="shared" si="11"/>
        <v>-0.11900000274181366</v>
      </c>
      <c r="AI26" s="3">
        <f>+K26*(165380*1.062)</f>
        <v>727649839.08000004</v>
      </c>
      <c r="AJ26" s="3">
        <f t="shared" si="19"/>
        <v>175633.56</v>
      </c>
      <c r="AK26" s="179">
        <f t="shared" si="56"/>
        <v>0.25530035956100511</v>
      </c>
      <c r="AM26" s="3"/>
      <c r="AN26" s="3"/>
      <c r="AR26" s="53">
        <f t="shared" si="20"/>
        <v>80000</v>
      </c>
      <c r="AS26" s="53">
        <v>80000</v>
      </c>
      <c r="AT26" s="53">
        <f t="shared" si="21"/>
        <v>0</v>
      </c>
      <c r="AU26" s="10">
        <f t="shared" si="44"/>
        <v>0</v>
      </c>
      <c r="AV26" s="3">
        <f t="shared" si="22"/>
        <v>331440000</v>
      </c>
      <c r="AW26" s="3">
        <f t="shared" si="23"/>
        <v>331440000</v>
      </c>
    </row>
    <row r="27" spans="1:50">
      <c r="A27" s="580"/>
      <c r="B27" s="581"/>
      <c r="C27" s="51">
        <f t="shared" si="46"/>
        <v>10</v>
      </c>
      <c r="D27" s="8" t="s">
        <v>67</v>
      </c>
      <c r="E27" s="1">
        <v>182</v>
      </c>
      <c r="F27" s="1">
        <v>1</v>
      </c>
      <c r="G27" s="65">
        <f t="shared" si="0"/>
        <v>182</v>
      </c>
      <c r="H27" s="66">
        <v>1</v>
      </c>
      <c r="I27" s="65">
        <f t="shared" si="1"/>
        <v>182</v>
      </c>
      <c r="J27" s="61">
        <v>1</v>
      </c>
      <c r="K27" s="65">
        <f t="shared" si="12"/>
        <v>182</v>
      </c>
      <c r="L27" s="53">
        <f>+L26</f>
        <v>80000</v>
      </c>
      <c r="M27" s="54">
        <f t="shared" si="2"/>
        <v>14560000</v>
      </c>
      <c r="N27" s="3">
        <f t="shared" si="47"/>
        <v>0</v>
      </c>
      <c r="O27" s="53">
        <f t="shared" si="3"/>
        <v>0</v>
      </c>
      <c r="P27" s="53">
        <f t="shared" si="48"/>
        <v>0</v>
      </c>
      <c r="Q27" s="53">
        <f t="shared" si="50"/>
        <v>65519.999999999993</v>
      </c>
      <c r="R27" s="55">
        <f t="shared" si="49"/>
        <v>65519.999999999993</v>
      </c>
      <c r="S27" s="3">
        <f t="shared" si="13"/>
        <v>20513000</v>
      </c>
      <c r="T27" s="53">
        <f t="shared" si="14"/>
        <v>3282080</v>
      </c>
      <c r="U27" s="53">
        <f t="shared" si="15"/>
        <v>102565</v>
      </c>
      <c r="V27" s="53">
        <f t="shared" si="4"/>
        <v>246156</v>
      </c>
      <c r="W27" s="53">
        <f t="shared" si="5"/>
        <v>424910.38459999999</v>
      </c>
      <c r="X27" s="53">
        <f t="shared" si="6"/>
        <v>615390</v>
      </c>
      <c r="Y27" s="67">
        <f t="shared" si="7"/>
        <v>4671101.3846000005</v>
      </c>
      <c r="Z27" s="56">
        <f t="shared" si="45"/>
        <v>24638210</v>
      </c>
      <c r="AA27" s="3">
        <f t="shared" si="8"/>
        <v>5341589</v>
      </c>
      <c r="AB27" s="57">
        <f t="shared" si="16"/>
        <v>0.21680101760639267</v>
      </c>
      <c r="AC27" s="56">
        <f t="shared" si="9"/>
        <v>14560000</v>
      </c>
      <c r="AD27" s="3">
        <f t="shared" si="10"/>
        <v>65519.999999999993</v>
      </c>
      <c r="AE27" s="3">
        <f t="shared" si="17"/>
        <v>4671101.3846000005</v>
      </c>
      <c r="AF27" s="58">
        <f t="shared" si="18"/>
        <v>5341589</v>
      </c>
      <c r="AG27" s="68">
        <f t="shared" si="11"/>
        <v>-0.38460000045597553</v>
      </c>
      <c r="AI27" s="3">
        <f>+K27*(165380*1.062)</f>
        <v>31965307.919999998</v>
      </c>
      <c r="AJ27" s="3">
        <f t="shared" si="19"/>
        <v>175633.56</v>
      </c>
      <c r="AK27" s="179">
        <f t="shared" si="56"/>
        <v>1.1215222167536308E-2</v>
      </c>
      <c r="AM27" s="3"/>
      <c r="AN27" s="3"/>
      <c r="AR27" s="53">
        <f t="shared" si="20"/>
        <v>80000</v>
      </c>
      <c r="AS27" s="53">
        <v>80000</v>
      </c>
      <c r="AT27" s="53">
        <f t="shared" si="21"/>
        <v>0</v>
      </c>
      <c r="AU27" s="10">
        <f t="shared" si="44"/>
        <v>0</v>
      </c>
      <c r="AV27" s="3">
        <f t="shared" si="22"/>
        <v>14560000</v>
      </c>
      <c r="AW27" s="3">
        <f t="shared" si="23"/>
        <v>14560000</v>
      </c>
    </row>
    <row r="28" spans="1:50" ht="33.75">
      <c r="A28" s="580"/>
      <c r="B28" s="581"/>
      <c r="C28" s="51">
        <f t="shared" si="46"/>
        <v>11</v>
      </c>
      <c r="D28" s="8" t="s">
        <v>68</v>
      </c>
      <c r="E28" s="1">
        <f>160*0</f>
        <v>0</v>
      </c>
      <c r="F28" s="1">
        <v>1</v>
      </c>
      <c r="G28" s="65">
        <f t="shared" si="0"/>
        <v>0</v>
      </c>
      <c r="H28" s="66">
        <v>1</v>
      </c>
      <c r="I28" s="65">
        <f t="shared" si="1"/>
        <v>0</v>
      </c>
      <c r="J28" s="61">
        <v>1</v>
      </c>
      <c r="K28" s="65">
        <f t="shared" si="12"/>
        <v>0</v>
      </c>
      <c r="L28" s="53">
        <v>85000</v>
      </c>
      <c r="M28" s="54">
        <f t="shared" si="2"/>
        <v>0</v>
      </c>
      <c r="N28" s="3">
        <f t="shared" si="47"/>
        <v>0</v>
      </c>
      <c r="O28" s="53">
        <f t="shared" si="3"/>
        <v>0</v>
      </c>
      <c r="P28" s="53">
        <f t="shared" si="48"/>
        <v>0</v>
      </c>
      <c r="Q28" s="53">
        <f t="shared" si="50"/>
        <v>0</v>
      </c>
      <c r="R28" s="55">
        <f t="shared" si="49"/>
        <v>0</v>
      </c>
      <c r="S28" s="3">
        <f t="shared" si="13"/>
        <v>0</v>
      </c>
      <c r="T28" s="53">
        <f t="shared" si="14"/>
        <v>0</v>
      </c>
      <c r="U28" s="53">
        <f t="shared" si="15"/>
        <v>0</v>
      </c>
      <c r="V28" s="53">
        <f t="shared" si="4"/>
        <v>0</v>
      </c>
      <c r="W28" s="53">
        <f t="shared" si="5"/>
        <v>0</v>
      </c>
      <c r="X28" s="53">
        <f t="shared" si="6"/>
        <v>0</v>
      </c>
      <c r="Y28" s="67">
        <f t="shared" si="7"/>
        <v>0</v>
      </c>
      <c r="Z28" s="56">
        <f t="shared" si="45"/>
        <v>0</v>
      </c>
      <c r="AA28" s="3">
        <f t="shared" si="8"/>
        <v>0</v>
      </c>
      <c r="AB28" s="57" t="e">
        <f t="shared" si="16"/>
        <v>#DIV/0!</v>
      </c>
      <c r="AC28" s="56">
        <f t="shared" si="9"/>
        <v>0</v>
      </c>
      <c r="AD28" s="3">
        <f t="shared" si="10"/>
        <v>0</v>
      </c>
      <c r="AE28" s="3">
        <f t="shared" si="17"/>
        <v>0</v>
      </c>
      <c r="AF28" s="58">
        <f t="shared" si="18"/>
        <v>0</v>
      </c>
      <c r="AG28" s="68">
        <f t="shared" si="11"/>
        <v>0</v>
      </c>
      <c r="AI28" s="3">
        <f t="shared" ref="AI28" si="57">+K28*(165380*1.0677)</f>
        <v>0</v>
      </c>
      <c r="AJ28" s="3" t="e">
        <f t="shared" si="19"/>
        <v>#DIV/0!</v>
      </c>
      <c r="AK28" s="179">
        <f t="shared" si="56"/>
        <v>0</v>
      </c>
      <c r="AM28" s="3"/>
      <c r="AN28" s="3"/>
      <c r="AR28" s="53">
        <f t="shared" si="20"/>
        <v>85000</v>
      </c>
      <c r="AS28" s="53">
        <v>80000</v>
      </c>
      <c r="AT28" s="53">
        <f t="shared" si="21"/>
        <v>5000</v>
      </c>
      <c r="AU28" s="10">
        <f t="shared" si="44"/>
        <v>6.25E-2</v>
      </c>
      <c r="AV28" s="3">
        <f t="shared" si="22"/>
        <v>0</v>
      </c>
      <c r="AW28" s="3">
        <f t="shared" si="23"/>
        <v>0</v>
      </c>
    </row>
    <row r="29" spans="1:50">
      <c r="A29" s="580"/>
      <c r="B29" s="581"/>
      <c r="C29" s="51"/>
      <c r="D29" s="8"/>
      <c r="G29" s="65"/>
      <c r="H29" s="66"/>
      <c r="I29" s="65"/>
      <c r="J29" s="61"/>
      <c r="K29" s="65"/>
      <c r="L29" s="53"/>
      <c r="M29" s="54">
        <f t="shared" si="2"/>
        <v>0</v>
      </c>
      <c r="N29" s="3">
        <f t="shared" si="47"/>
        <v>0</v>
      </c>
      <c r="O29" s="53"/>
      <c r="P29" s="53"/>
      <c r="Q29" s="53"/>
      <c r="R29" s="55"/>
      <c r="S29" s="3"/>
      <c r="T29" s="53"/>
      <c r="U29" s="53"/>
      <c r="V29" s="53"/>
      <c r="W29" s="53"/>
      <c r="X29" s="53"/>
      <c r="Y29" s="67"/>
      <c r="Z29" s="56"/>
      <c r="AA29" s="3"/>
      <c r="AB29" s="57"/>
      <c r="AC29" s="56"/>
      <c r="AD29" s="3"/>
      <c r="AE29" s="3"/>
      <c r="AF29" s="58"/>
      <c r="AG29" s="68"/>
      <c r="AI29" s="3"/>
      <c r="AJ29" s="3"/>
      <c r="AK29" s="179">
        <f t="shared" si="56"/>
        <v>0</v>
      </c>
      <c r="AM29" s="3"/>
      <c r="AN29" s="3"/>
      <c r="AR29" s="53"/>
      <c r="AU29" s="185">
        <f>AVERAGE(AU14:AU28)</f>
        <v>6.6666666666666666E-2</v>
      </c>
      <c r="AV29" s="3">
        <f>SUM(AV14:AV28)</f>
        <v>1254240000</v>
      </c>
      <c r="AW29" s="3">
        <f>SUM(AW14:AW28)</f>
        <v>1184080000</v>
      </c>
      <c r="AX29" s="3">
        <f>+AV29-AW29</f>
        <v>70160000</v>
      </c>
    </row>
    <row r="30" spans="1:50">
      <c r="A30" s="580"/>
      <c r="B30" s="581"/>
      <c r="C30" s="51"/>
      <c r="D30" s="71"/>
      <c r="G30" s="52"/>
      <c r="I30" s="52"/>
      <c r="K30" s="2"/>
      <c r="L30" s="53"/>
      <c r="M30" s="54"/>
      <c r="O30" s="53"/>
      <c r="P30" s="53"/>
      <c r="Q30" s="53"/>
      <c r="R30" s="53"/>
      <c r="S30" s="3"/>
      <c r="T30" s="53"/>
      <c r="U30" s="53"/>
      <c r="V30" s="53"/>
      <c r="W30" s="53"/>
      <c r="X30" s="53"/>
      <c r="Y30" s="67"/>
      <c r="Z30" s="56"/>
      <c r="AA30" s="3"/>
      <c r="AB30" s="72"/>
      <c r="AC30" s="56"/>
      <c r="AD30" s="3"/>
      <c r="AE30" s="3"/>
      <c r="AF30" s="58"/>
      <c r="AG30" s="68"/>
      <c r="AI30" s="73"/>
      <c r="AJ30" s="73"/>
      <c r="AK30" s="179">
        <f t="shared" si="56"/>
        <v>0</v>
      </c>
      <c r="AL30" s="74"/>
      <c r="AM30" s="73"/>
      <c r="AN30" s="3"/>
      <c r="AR30" s="53"/>
      <c r="AX30" s="131">
        <f>+AX29/AW29</f>
        <v>5.9252753192351869E-2</v>
      </c>
    </row>
    <row r="31" spans="1:50" ht="12" thickBot="1">
      <c r="A31" s="580"/>
      <c r="B31" s="581"/>
      <c r="C31" s="75"/>
      <c r="D31" s="76" t="s">
        <v>69</v>
      </c>
      <c r="E31" s="77"/>
      <c r="F31" s="79"/>
      <c r="G31" s="78"/>
      <c r="H31" s="203"/>
      <c r="I31" s="78"/>
      <c r="J31" s="203"/>
      <c r="K31" s="79">
        <f>SUM(K14:K29)</f>
        <v>16761</v>
      </c>
      <c r="L31" s="80"/>
      <c r="M31" s="79">
        <f>SUM(M14:M30)</f>
        <v>1359534020.4400001</v>
      </c>
      <c r="N31" s="81">
        <f t="shared" ref="N31:Y31" si="58">SUM(N12:N30)</f>
        <v>0</v>
      </c>
      <c r="O31" s="81">
        <f t="shared" si="58"/>
        <v>0</v>
      </c>
      <c r="P31" s="81">
        <f t="shared" si="58"/>
        <v>0</v>
      </c>
      <c r="Q31" s="81">
        <f t="shared" si="58"/>
        <v>6117903.0919799991</v>
      </c>
      <c r="R31" s="79">
        <f t="shared" si="58"/>
        <v>6117903.0919799991</v>
      </c>
      <c r="S31" s="79">
        <f t="shared" si="58"/>
        <v>1915360000</v>
      </c>
      <c r="T31" s="79">
        <f t="shared" si="58"/>
        <v>306457600</v>
      </c>
      <c r="U31" s="79">
        <f t="shared" si="58"/>
        <v>9576800</v>
      </c>
      <c r="V31" s="79">
        <f t="shared" si="58"/>
        <v>22984320</v>
      </c>
      <c r="W31" s="79">
        <f t="shared" si="58"/>
        <v>39675150.111999989</v>
      </c>
      <c r="X31" s="79">
        <f t="shared" si="58"/>
        <v>57460800</v>
      </c>
      <c r="Y31" s="82">
        <f t="shared" si="58"/>
        <v>436154670.11199999</v>
      </c>
      <c r="Z31" s="83">
        <f>SUM(Z14:Z30)</f>
        <v>2344376778.6500001</v>
      </c>
      <c r="AA31" s="81">
        <f>SUM(AA12:AA30)</f>
        <v>542570185</v>
      </c>
      <c r="AB31" s="84">
        <f>+AA31/Z31</f>
        <v>0.23143472070749518</v>
      </c>
      <c r="AC31" s="79">
        <f>SUM(AC12:AC30)</f>
        <v>1359534020.4400001</v>
      </c>
      <c r="AD31" s="79">
        <f>SUM(AD12:AD30)</f>
        <v>6117903.0919799991</v>
      </c>
      <c r="AE31" s="79">
        <f>SUM(AE12:AE30)</f>
        <v>436154670.11199999</v>
      </c>
      <c r="AF31" s="85">
        <f>SUM(AF12:AF30)</f>
        <v>542570185</v>
      </c>
      <c r="AG31" s="68">
        <f t="shared" ref="AG31:AG44" si="59">+Z31-AC31-AD31-AE31-AF31</f>
        <v>6.0200691223144531E-3</v>
      </c>
      <c r="AI31" s="73">
        <f>SUM(AI14:AI29)</f>
        <v>2850171618.7600002</v>
      </c>
      <c r="AJ31" s="86"/>
      <c r="AK31" s="179">
        <f t="shared" si="56"/>
        <v>1</v>
      </c>
      <c r="AL31" s="86"/>
      <c r="AM31" s="86"/>
      <c r="AN31" s="3"/>
      <c r="AR31" s="53"/>
    </row>
    <row r="32" spans="1:50" ht="12" thickBot="1">
      <c r="A32" s="580"/>
      <c r="B32" s="581"/>
      <c r="C32" s="87"/>
      <c r="D32" s="88" t="s">
        <v>49</v>
      </c>
      <c r="E32" s="89"/>
      <c r="F32" s="90"/>
      <c r="G32" s="90"/>
      <c r="H32" s="90"/>
      <c r="I32" s="90"/>
      <c r="J32" s="90"/>
      <c r="K32" s="48"/>
      <c r="L32" s="48"/>
      <c r="M32" s="91"/>
      <c r="N32" s="92">
        <v>0</v>
      </c>
      <c r="O32" s="172">
        <v>0</v>
      </c>
      <c r="P32" s="93">
        <v>0</v>
      </c>
      <c r="Q32" s="94">
        <f>+Q11</f>
        <v>4.4999999999999997E-3</v>
      </c>
      <c r="R32" s="173"/>
      <c r="S32" s="42">
        <v>0.45450000000000002</v>
      </c>
      <c r="T32" s="95">
        <f>+T43/$Z$43</f>
        <v>0</v>
      </c>
      <c r="U32" s="95">
        <f>+U43/$Z$43</f>
        <v>0</v>
      </c>
      <c r="V32" s="95">
        <f>+V43/$Z$43</f>
        <v>0</v>
      </c>
      <c r="W32" s="95">
        <f>+W43/$Z$43</f>
        <v>0</v>
      </c>
      <c r="X32" s="95">
        <f>+X43/$Z$43</f>
        <v>0</v>
      </c>
      <c r="Y32" s="44">
        <f>SUM(T32:X32)</f>
        <v>0</v>
      </c>
      <c r="Z32" s="96">
        <v>0</v>
      </c>
      <c r="AA32" s="97"/>
      <c r="AB32" s="98"/>
      <c r="AC32" s="91"/>
      <c r="AD32" s="91"/>
      <c r="AE32" s="91"/>
      <c r="AF32" s="99"/>
      <c r="AG32" s="68">
        <f t="shared" si="59"/>
        <v>0</v>
      </c>
      <c r="AJ32" s="3"/>
      <c r="AM32" s="3"/>
      <c r="AN32" s="3"/>
    </row>
    <row r="33" spans="1:39" ht="12" customHeight="1">
      <c r="A33" s="580"/>
      <c r="B33" s="581"/>
      <c r="C33" s="584">
        <v>2</v>
      </c>
      <c r="D33" s="582" t="s">
        <v>70</v>
      </c>
      <c r="E33" s="583"/>
      <c r="F33" s="583"/>
      <c r="G33" s="583"/>
      <c r="H33" s="583"/>
      <c r="I33" s="52"/>
      <c r="K33" s="2"/>
      <c r="L33" s="53"/>
      <c r="M33" s="54"/>
      <c r="O33" s="53"/>
      <c r="P33" s="53"/>
      <c r="Q33" s="53"/>
      <c r="R33" s="55"/>
      <c r="S33" s="3"/>
      <c r="T33" s="53"/>
      <c r="U33" s="53"/>
      <c r="V33" s="53"/>
      <c r="W33" s="53"/>
      <c r="X33" s="53"/>
      <c r="Y33" s="53"/>
      <c r="Z33" s="56"/>
      <c r="AA33" s="3"/>
      <c r="AB33" s="57"/>
      <c r="AC33" s="56"/>
      <c r="AD33" s="3"/>
      <c r="AE33" s="3"/>
      <c r="AF33" s="58"/>
      <c r="AG33" s="5">
        <f>+Z33-AC33-AD33-AE33-AF33</f>
        <v>0</v>
      </c>
      <c r="AH33" s="59" t="s">
        <v>52</v>
      </c>
      <c r="AK33" s="3"/>
    </row>
    <row r="34" spans="1:39">
      <c r="A34" s="580"/>
      <c r="B34" s="581"/>
      <c r="C34" s="584"/>
      <c r="D34" s="60" t="s">
        <v>53</v>
      </c>
      <c r="I34" s="52"/>
      <c r="K34" s="2"/>
      <c r="L34" s="53"/>
      <c r="M34" s="62"/>
      <c r="O34" s="53"/>
      <c r="P34" s="53"/>
      <c r="Q34" s="53"/>
      <c r="R34" s="4"/>
      <c r="S34" s="3"/>
      <c r="T34" s="53"/>
      <c r="U34" s="53"/>
      <c r="V34" s="53"/>
      <c r="W34" s="53"/>
      <c r="X34" s="53"/>
      <c r="Y34" s="53"/>
      <c r="Z34" s="56"/>
      <c r="AA34" s="3"/>
      <c r="AB34" s="57"/>
      <c r="AC34" s="63"/>
      <c r="AF34" s="64"/>
      <c r="AG34" s="5"/>
    </row>
    <row r="35" spans="1:39">
      <c r="A35" s="580"/>
      <c r="B35" s="581"/>
      <c r="C35" s="584"/>
      <c r="D35" s="8" t="s">
        <v>141</v>
      </c>
      <c r="E35" s="1">
        <v>1</v>
      </c>
      <c r="F35" s="1">
        <v>1</v>
      </c>
      <c r="G35" s="52">
        <f t="shared" ref="G35" si="60">+E35/F35</f>
        <v>1</v>
      </c>
      <c r="H35" s="100">
        <v>1</v>
      </c>
      <c r="I35" s="52">
        <f t="shared" ref="I35:I41" si="61">+G35*H35</f>
        <v>1</v>
      </c>
      <c r="J35" s="1">
        <v>11</v>
      </c>
      <c r="K35" s="52">
        <f t="shared" ref="K35:K41" si="62">+I35*J35</f>
        <v>11</v>
      </c>
      <c r="L35" s="53">
        <f>1000000+1000000</f>
        <v>2000000</v>
      </c>
      <c r="M35" s="54">
        <f t="shared" ref="M35:M41" si="63">+K35*L35</f>
        <v>22000000</v>
      </c>
      <c r="N35" s="3">
        <f>30000000*L43</f>
        <v>0</v>
      </c>
      <c r="O35" s="53">
        <f t="shared" ref="O35:O40" si="64">+M35*$O$11</f>
        <v>0</v>
      </c>
      <c r="P35" s="53">
        <f t="shared" ref="P35:P40" si="65">+M35*$P$11</f>
        <v>0</v>
      </c>
      <c r="Q35" s="53">
        <f t="shared" ref="Q35:Q41" si="66">+M35*$Q$11</f>
        <v>98999.999999999985</v>
      </c>
      <c r="R35" s="55">
        <f t="shared" ref="R35:R41" si="67">SUM(N35:Q35)</f>
        <v>98999.999999999985</v>
      </c>
      <c r="S35" s="3">
        <f t="shared" ref="S35:S41" si="68">ROUND((+M35+R35)/(1-$S$11),-3)*0</f>
        <v>0</v>
      </c>
      <c r="T35" s="53">
        <f t="shared" ref="T35:T41" si="69">+S35*$T$10</f>
        <v>0</v>
      </c>
      <c r="U35" s="53">
        <f t="shared" ref="U35:U41" si="70">+S35*$U$10</f>
        <v>0</v>
      </c>
      <c r="V35" s="53">
        <f t="shared" ref="V35:V41" si="71">+S35*$V$10</f>
        <v>0</v>
      </c>
      <c r="W35" s="53">
        <f t="shared" ref="W35:W41" si="72">+S35*$W$10</f>
        <v>0</v>
      </c>
      <c r="X35" s="53">
        <f t="shared" ref="X35:X41" si="73">+S35*$X$10</f>
        <v>0</v>
      </c>
      <c r="Y35" s="67">
        <f t="shared" ref="Y35:Y41" si="74">SUM(T35:X35)</f>
        <v>0</v>
      </c>
      <c r="Z35" s="56">
        <f t="shared" ref="Z35:Z40" si="75">ROUND((+Y35+R35+M35)/(1-$Z$32),0)</f>
        <v>22099000</v>
      </c>
      <c r="AA35" s="3">
        <f t="shared" ref="AA35:AA41" si="76">ROUND((+Z35-Y35-R35-M35),0)</f>
        <v>0</v>
      </c>
      <c r="AB35" s="57">
        <f t="shared" ref="AB35:AB41" si="77">+AA35/Z35</f>
        <v>0</v>
      </c>
      <c r="AC35" s="56">
        <f t="shared" ref="AC35:AC41" si="78">+M35</f>
        <v>22000000</v>
      </c>
      <c r="AD35" s="3">
        <f t="shared" ref="AD35:AD41" si="79">+R35</f>
        <v>98999.999999999985</v>
      </c>
      <c r="AE35" s="3">
        <f t="shared" ref="AE35:AE41" si="80">+Y35</f>
        <v>0</v>
      </c>
      <c r="AF35" s="58">
        <f t="shared" ref="AF35:AF41" si="81">+AA35</f>
        <v>0</v>
      </c>
      <c r="AG35" s="68">
        <f t="shared" ref="AG35:AG41" si="82">+Z35-AC35-AD35-AE35-AF35</f>
        <v>1.4551915228366852E-11</v>
      </c>
      <c r="AI35" s="3"/>
      <c r="AJ35" s="3"/>
    </row>
    <row r="36" spans="1:39">
      <c r="A36" s="580"/>
      <c r="B36" s="581"/>
      <c r="C36" s="584"/>
      <c r="D36" s="8" t="s">
        <v>142</v>
      </c>
      <c r="E36" s="1">
        <v>4</v>
      </c>
      <c r="F36" s="1">
        <v>1</v>
      </c>
      <c r="G36" s="52">
        <f>+E36/F36</f>
        <v>4</v>
      </c>
      <c r="H36" s="100">
        <v>1</v>
      </c>
      <c r="I36" s="52">
        <f t="shared" si="61"/>
        <v>4</v>
      </c>
      <c r="J36" s="1">
        <v>11</v>
      </c>
      <c r="K36" s="52">
        <f t="shared" si="62"/>
        <v>44</v>
      </c>
      <c r="L36" s="53">
        <f>3400000*1.52</f>
        <v>5168000</v>
      </c>
      <c r="M36" s="54">
        <f t="shared" si="63"/>
        <v>227392000</v>
      </c>
      <c r="N36" s="3">
        <f>+K36*$N$11</f>
        <v>0</v>
      </c>
      <c r="O36" s="53">
        <f t="shared" si="64"/>
        <v>0</v>
      </c>
      <c r="P36" s="53">
        <f t="shared" si="65"/>
        <v>0</v>
      </c>
      <c r="Q36" s="53">
        <f t="shared" si="66"/>
        <v>1023263.9999999999</v>
      </c>
      <c r="R36" s="55">
        <f t="shared" si="67"/>
        <v>1023263.9999999999</v>
      </c>
      <c r="S36" s="3">
        <f t="shared" si="68"/>
        <v>0</v>
      </c>
      <c r="T36" s="53">
        <f t="shared" si="69"/>
        <v>0</v>
      </c>
      <c r="U36" s="53">
        <f t="shared" si="70"/>
        <v>0</v>
      </c>
      <c r="V36" s="53">
        <f t="shared" si="71"/>
        <v>0</v>
      </c>
      <c r="W36" s="53">
        <f t="shared" si="72"/>
        <v>0</v>
      </c>
      <c r="X36" s="53">
        <f t="shared" si="73"/>
        <v>0</v>
      </c>
      <c r="Y36" s="67">
        <f t="shared" si="74"/>
        <v>0</v>
      </c>
      <c r="Z36" s="56">
        <f t="shared" si="75"/>
        <v>228415264</v>
      </c>
      <c r="AA36" s="3">
        <f t="shared" si="76"/>
        <v>0</v>
      </c>
      <c r="AB36" s="57">
        <f t="shared" si="77"/>
        <v>0</v>
      </c>
      <c r="AC36" s="56">
        <f t="shared" si="78"/>
        <v>227392000</v>
      </c>
      <c r="AD36" s="3">
        <f t="shared" si="79"/>
        <v>1023263.9999999999</v>
      </c>
      <c r="AE36" s="3">
        <f t="shared" si="80"/>
        <v>0</v>
      </c>
      <c r="AF36" s="58">
        <f t="shared" si="81"/>
        <v>0</v>
      </c>
      <c r="AG36" s="68">
        <f t="shared" si="82"/>
        <v>1.1641532182693481E-10</v>
      </c>
      <c r="AI36" s="3"/>
      <c r="AJ36" s="3"/>
    </row>
    <row r="37" spans="1:39">
      <c r="A37" s="580"/>
      <c r="B37" s="581"/>
      <c r="C37" s="584"/>
      <c r="D37" s="8" t="s">
        <v>143</v>
      </c>
      <c r="E37" s="1">
        <v>1</v>
      </c>
      <c r="F37" s="1">
        <v>1</v>
      </c>
      <c r="G37" s="52">
        <f>+E37/F37</f>
        <v>1</v>
      </c>
      <c r="H37" s="100">
        <v>1</v>
      </c>
      <c r="I37" s="52">
        <f t="shared" ref="I37" si="83">+G37*H37</f>
        <v>1</v>
      </c>
      <c r="J37" s="1">
        <v>11</v>
      </c>
      <c r="K37" s="52">
        <f t="shared" ref="K37" si="84">+I37*J37</f>
        <v>11</v>
      </c>
      <c r="L37" s="53">
        <f>2620000*1.52+200000</f>
        <v>4182400</v>
      </c>
      <c r="M37" s="54">
        <f t="shared" ref="M37" si="85">+K37*L37</f>
        <v>46006400</v>
      </c>
      <c r="N37" s="3">
        <f>+K37*$N$11</f>
        <v>0</v>
      </c>
      <c r="O37" s="53">
        <f t="shared" si="64"/>
        <v>0</v>
      </c>
      <c r="P37" s="53">
        <f t="shared" si="65"/>
        <v>0</v>
      </c>
      <c r="Q37" s="53">
        <f t="shared" ref="Q37" si="86">+M37*$Q$11</f>
        <v>207028.8</v>
      </c>
      <c r="R37" s="55">
        <f t="shared" ref="R37" si="87">SUM(N37:Q37)</f>
        <v>207028.8</v>
      </c>
      <c r="S37" s="3">
        <f t="shared" ref="S37" si="88">ROUND((+M37+R37)/(1-$S$11),-3)*0</f>
        <v>0</v>
      </c>
      <c r="T37" s="53">
        <f t="shared" ref="T37" si="89">+S37*$T$10</f>
        <v>0</v>
      </c>
      <c r="U37" s="53">
        <f t="shared" ref="U37" si="90">+S37*$U$10</f>
        <v>0</v>
      </c>
      <c r="V37" s="53">
        <f t="shared" ref="V37" si="91">+S37*$V$10</f>
        <v>0</v>
      </c>
      <c r="W37" s="53">
        <f t="shared" ref="W37" si="92">+S37*$W$10</f>
        <v>0</v>
      </c>
      <c r="X37" s="53">
        <f t="shared" ref="X37" si="93">+S37*$X$10</f>
        <v>0</v>
      </c>
      <c r="Y37" s="67">
        <f t="shared" ref="Y37" si="94">SUM(T37:X37)</f>
        <v>0</v>
      </c>
      <c r="Z37" s="56">
        <f t="shared" ref="Z37" si="95">ROUND((+Y37+R37+M37)/(1-$Z$32),0)</f>
        <v>46213429</v>
      </c>
      <c r="AA37" s="3">
        <f t="shared" ref="AA37" si="96">ROUND((+Z37-Y37-R37-M37),0)</f>
        <v>0</v>
      </c>
      <c r="AB37" s="57">
        <f t="shared" ref="AB37" si="97">+AA37/Z37</f>
        <v>0</v>
      </c>
      <c r="AC37" s="56">
        <f t="shared" ref="AC37" si="98">+M37</f>
        <v>46006400</v>
      </c>
      <c r="AD37" s="3">
        <f t="shared" ref="AD37" si="99">+R37</f>
        <v>207028.8</v>
      </c>
      <c r="AE37" s="3">
        <f t="shared" ref="AE37" si="100">+Y37</f>
        <v>0</v>
      </c>
      <c r="AF37" s="58">
        <f t="shared" ref="AF37" si="101">+AA37</f>
        <v>0</v>
      </c>
      <c r="AG37" s="68">
        <f t="shared" ref="AG37" si="102">+Z37-AC37-AD37-AE37-AF37</f>
        <v>0.20000000001164153</v>
      </c>
      <c r="AI37" s="3"/>
      <c r="AJ37" s="3"/>
    </row>
    <row r="38" spans="1:39">
      <c r="A38" s="580"/>
      <c r="B38" s="581"/>
      <c r="C38" s="584"/>
      <c r="D38" s="8" t="s">
        <v>73</v>
      </c>
      <c r="E38" s="1">
        <v>4</v>
      </c>
      <c r="F38" s="1">
        <v>1</v>
      </c>
      <c r="G38" s="52">
        <f>+E38/F38</f>
        <v>4</v>
      </c>
      <c r="H38" s="100">
        <v>1</v>
      </c>
      <c r="I38" s="52">
        <f t="shared" si="61"/>
        <v>4</v>
      </c>
      <c r="J38" s="1">
        <v>10</v>
      </c>
      <c r="K38" s="52">
        <f t="shared" si="62"/>
        <v>40</v>
      </c>
      <c r="L38" s="53">
        <f>(1690000*1.052)*1.52+200000</f>
        <v>2902377.6</v>
      </c>
      <c r="M38" s="54">
        <f t="shared" si="63"/>
        <v>116095104</v>
      </c>
      <c r="N38" s="3">
        <f>+K38*$N$11</f>
        <v>0</v>
      </c>
      <c r="O38" s="53">
        <f t="shared" si="64"/>
        <v>0</v>
      </c>
      <c r="P38" s="53">
        <f t="shared" si="65"/>
        <v>0</v>
      </c>
      <c r="Q38" s="53">
        <f t="shared" si="66"/>
        <v>522427.96799999994</v>
      </c>
      <c r="R38" s="55">
        <f t="shared" si="67"/>
        <v>522427.96799999994</v>
      </c>
      <c r="S38" s="3">
        <f t="shared" si="68"/>
        <v>0</v>
      </c>
      <c r="T38" s="53">
        <f t="shared" si="69"/>
        <v>0</v>
      </c>
      <c r="U38" s="53">
        <f t="shared" si="70"/>
        <v>0</v>
      </c>
      <c r="V38" s="53">
        <f t="shared" si="71"/>
        <v>0</v>
      </c>
      <c r="W38" s="53">
        <f t="shared" si="72"/>
        <v>0</v>
      </c>
      <c r="X38" s="53">
        <f t="shared" si="73"/>
        <v>0</v>
      </c>
      <c r="Y38" s="67">
        <f t="shared" si="74"/>
        <v>0</v>
      </c>
      <c r="Z38" s="56">
        <f t="shared" si="75"/>
        <v>116617532</v>
      </c>
      <c r="AA38" s="3">
        <f t="shared" si="76"/>
        <v>0</v>
      </c>
      <c r="AB38" s="57">
        <f t="shared" si="77"/>
        <v>0</v>
      </c>
      <c r="AC38" s="56">
        <f t="shared" si="78"/>
        <v>116095104</v>
      </c>
      <c r="AD38" s="3">
        <f t="shared" si="79"/>
        <v>522427.96799999994</v>
      </c>
      <c r="AE38" s="3">
        <f t="shared" si="80"/>
        <v>0</v>
      </c>
      <c r="AF38" s="58">
        <f t="shared" si="81"/>
        <v>0</v>
      </c>
      <c r="AG38" s="68">
        <f t="shared" si="82"/>
        <v>3.2000000064726919E-2</v>
      </c>
      <c r="AI38" s="3"/>
      <c r="AJ38" s="3"/>
    </row>
    <row r="39" spans="1:39">
      <c r="A39" s="580"/>
      <c r="B39" s="581"/>
      <c r="C39" s="584"/>
      <c r="D39" s="8" t="s">
        <v>74</v>
      </c>
      <c r="E39" s="1">
        <v>1</v>
      </c>
      <c r="F39" s="1">
        <v>1</v>
      </c>
      <c r="G39" s="52">
        <f t="shared" ref="G39:G41" si="103">+E39/F39</f>
        <v>1</v>
      </c>
      <c r="H39" s="100">
        <v>1</v>
      </c>
      <c r="I39" s="52">
        <f t="shared" si="61"/>
        <v>1</v>
      </c>
      <c r="J39" s="1">
        <v>11</v>
      </c>
      <c r="K39" s="52">
        <f t="shared" si="62"/>
        <v>11</v>
      </c>
      <c r="L39" s="53">
        <v>3000000</v>
      </c>
      <c r="M39" s="54">
        <f t="shared" si="63"/>
        <v>33000000</v>
      </c>
      <c r="N39" s="3">
        <f>+K39*$N$11</f>
        <v>0</v>
      </c>
      <c r="O39" s="53">
        <f t="shared" si="64"/>
        <v>0</v>
      </c>
      <c r="P39" s="53">
        <f t="shared" si="65"/>
        <v>0</v>
      </c>
      <c r="Q39" s="53">
        <f t="shared" si="66"/>
        <v>148500</v>
      </c>
      <c r="R39" s="55">
        <f t="shared" si="67"/>
        <v>148500</v>
      </c>
      <c r="S39" s="3">
        <f t="shared" si="68"/>
        <v>0</v>
      </c>
      <c r="T39" s="53">
        <f t="shared" si="69"/>
        <v>0</v>
      </c>
      <c r="U39" s="53">
        <f t="shared" si="70"/>
        <v>0</v>
      </c>
      <c r="V39" s="53">
        <f t="shared" si="71"/>
        <v>0</v>
      </c>
      <c r="W39" s="53">
        <f t="shared" si="72"/>
        <v>0</v>
      </c>
      <c r="X39" s="53">
        <f t="shared" si="73"/>
        <v>0</v>
      </c>
      <c r="Y39" s="67">
        <f t="shared" si="74"/>
        <v>0</v>
      </c>
      <c r="Z39" s="56">
        <f t="shared" si="75"/>
        <v>33148500</v>
      </c>
      <c r="AA39" s="3">
        <f t="shared" si="76"/>
        <v>0</v>
      </c>
      <c r="AB39" s="57">
        <f t="shared" si="77"/>
        <v>0</v>
      </c>
      <c r="AC39" s="56">
        <f t="shared" si="78"/>
        <v>33000000</v>
      </c>
      <c r="AD39" s="3">
        <f t="shared" si="79"/>
        <v>148500</v>
      </c>
      <c r="AE39" s="3">
        <f t="shared" si="80"/>
        <v>0</v>
      </c>
      <c r="AF39" s="58">
        <f t="shared" si="81"/>
        <v>0</v>
      </c>
      <c r="AG39" s="68">
        <f t="shared" si="82"/>
        <v>0</v>
      </c>
      <c r="AI39" s="3"/>
      <c r="AJ39" s="3"/>
    </row>
    <row r="40" spans="1:39">
      <c r="A40" s="580"/>
      <c r="B40" s="581"/>
      <c r="C40" s="584"/>
      <c r="D40" s="8" t="s">
        <v>75</v>
      </c>
      <c r="E40" s="1">
        <v>8</v>
      </c>
      <c r="F40" s="1">
        <v>1</v>
      </c>
      <c r="G40" s="52">
        <f t="shared" si="103"/>
        <v>8</v>
      </c>
      <c r="H40" s="100">
        <v>1</v>
      </c>
      <c r="I40" s="52">
        <f t="shared" si="61"/>
        <v>8</v>
      </c>
      <c r="J40" s="1">
        <v>11</v>
      </c>
      <c r="K40" s="52">
        <f t="shared" si="62"/>
        <v>88</v>
      </c>
      <c r="L40" s="53">
        <v>160000</v>
      </c>
      <c r="M40" s="54">
        <f t="shared" si="63"/>
        <v>14080000</v>
      </c>
      <c r="N40" s="3">
        <f>+K40*$N$11</f>
        <v>0</v>
      </c>
      <c r="O40" s="53">
        <f t="shared" si="64"/>
        <v>0</v>
      </c>
      <c r="P40" s="53">
        <f t="shared" si="65"/>
        <v>0</v>
      </c>
      <c r="Q40" s="53">
        <f t="shared" si="66"/>
        <v>63359.999999999993</v>
      </c>
      <c r="R40" s="55">
        <f t="shared" si="67"/>
        <v>63359.999999999993</v>
      </c>
      <c r="S40" s="3">
        <f t="shared" si="68"/>
        <v>0</v>
      </c>
      <c r="T40" s="53">
        <f t="shared" si="69"/>
        <v>0</v>
      </c>
      <c r="U40" s="53">
        <f t="shared" si="70"/>
        <v>0</v>
      </c>
      <c r="V40" s="53">
        <f t="shared" si="71"/>
        <v>0</v>
      </c>
      <c r="W40" s="53">
        <f t="shared" si="72"/>
        <v>0</v>
      </c>
      <c r="X40" s="53">
        <f t="shared" si="73"/>
        <v>0</v>
      </c>
      <c r="Y40" s="67">
        <f t="shared" si="74"/>
        <v>0</v>
      </c>
      <c r="Z40" s="56">
        <f t="shared" si="75"/>
        <v>14143360</v>
      </c>
      <c r="AA40" s="3">
        <f t="shared" si="76"/>
        <v>0</v>
      </c>
      <c r="AB40" s="57">
        <f t="shared" si="77"/>
        <v>0</v>
      </c>
      <c r="AC40" s="56">
        <f t="shared" si="78"/>
        <v>14080000</v>
      </c>
      <c r="AD40" s="3">
        <f t="shared" si="79"/>
        <v>63359.999999999993</v>
      </c>
      <c r="AE40" s="3">
        <f t="shared" si="80"/>
        <v>0</v>
      </c>
      <c r="AF40" s="58">
        <f t="shared" si="81"/>
        <v>0</v>
      </c>
      <c r="AG40" s="68">
        <f t="shared" si="82"/>
        <v>7.2759576141834259E-12</v>
      </c>
      <c r="AI40" s="3"/>
      <c r="AJ40" s="3"/>
    </row>
    <row r="41" spans="1:39">
      <c r="A41" s="580"/>
      <c r="B41" s="581"/>
      <c r="C41" s="584"/>
      <c r="D41" s="8" t="s">
        <v>76</v>
      </c>
      <c r="E41" s="1">
        <v>1</v>
      </c>
      <c r="F41" s="1">
        <v>1</v>
      </c>
      <c r="G41" s="52">
        <f t="shared" si="103"/>
        <v>1</v>
      </c>
      <c r="H41" s="100">
        <v>1</v>
      </c>
      <c r="I41" s="52">
        <f t="shared" si="61"/>
        <v>1</v>
      </c>
      <c r="J41" s="1">
        <v>11</v>
      </c>
      <c r="K41" s="52">
        <f t="shared" si="62"/>
        <v>11</v>
      </c>
      <c r="L41" s="53">
        <v>418300</v>
      </c>
      <c r="M41" s="54">
        <f t="shared" si="63"/>
        <v>4601300</v>
      </c>
      <c r="N41" s="3">
        <f>+M41*$N$11*0</f>
        <v>0</v>
      </c>
      <c r="O41" s="53">
        <f>+M41*$O$11*0</f>
        <v>0</v>
      </c>
      <c r="P41" s="53">
        <f>+M41*$P$11*0</f>
        <v>0</v>
      </c>
      <c r="Q41" s="53">
        <f t="shared" si="66"/>
        <v>20705.849999999999</v>
      </c>
      <c r="R41" s="175">
        <f t="shared" si="67"/>
        <v>20705.849999999999</v>
      </c>
      <c r="S41" s="3">
        <f t="shared" si="68"/>
        <v>0</v>
      </c>
      <c r="T41" s="53">
        <f t="shared" si="69"/>
        <v>0</v>
      </c>
      <c r="U41" s="53">
        <f t="shared" si="70"/>
        <v>0</v>
      </c>
      <c r="V41" s="53">
        <f t="shared" si="71"/>
        <v>0</v>
      </c>
      <c r="W41" s="53">
        <f t="shared" si="72"/>
        <v>0</v>
      </c>
      <c r="X41" s="53">
        <f t="shared" si="73"/>
        <v>0</v>
      </c>
      <c r="Y41" s="67">
        <f t="shared" si="74"/>
        <v>0</v>
      </c>
      <c r="Z41" s="56">
        <f>ROUND((+Y41+R41+M41)/(1-$Z$32),0)</f>
        <v>4622006</v>
      </c>
      <c r="AA41" s="3">
        <f t="shared" si="76"/>
        <v>0</v>
      </c>
      <c r="AB41" s="57">
        <f t="shared" si="77"/>
        <v>0</v>
      </c>
      <c r="AC41" s="56">
        <f t="shared" si="78"/>
        <v>4601300</v>
      </c>
      <c r="AD41" s="3">
        <f t="shared" si="79"/>
        <v>20705.849999999999</v>
      </c>
      <c r="AE41" s="3">
        <f t="shared" si="80"/>
        <v>0</v>
      </c>
      <c r="AF41" s="58">
        <f t="shared" si="81"/>
        <v>0</v>
      </c>
      <c r="AG41" s="68">
        <f t="shared" si="82"/>
        <v>0.15000000000145519</v>
      </c>
      <c r="AI41" s="3"/>
      <c r="AJ41" s="3"/>
    </row>
    <row r="42" spans="1:39">
      <c r="A42" s="580"/>
      <c r="B42" s="581"/>
      <c r="C42" s="584"/>
      <c r="D42" s="71"/>
      <c r="G42" s="52"/>
      <c r="I42" s="52"/>
      <c r="K42" s="2"/>
      <c r="L42" s="53"/>
      <c r="M42" s="54"/>
      <c r="O42" s="53"/>
      <c r="P42" s="53"/>
      <c r="Q42" s="53"/>
      <c r="R42" s="175"/>
      <c r="S42" s="3"/>
      <c r="T42" s="53"/>
      <c r="U42" s="53"/>
      <c r="V42" s="53"/>
      <c r="W42" s="53"/>
      <c r="X42" s="53"/>
      <c r="Y42" s="67"/>
      <c r="Z42" s="56"/>
      <c r="AA42" s="3"/>
      <c r="AB42" s="57"/>
      <c r="AC42" s="56"/>
      <c r="AD42" s="3"/>
      <c r="AE42" s="3"/>
      <c r="AF42" s="58"/>
      <c r="AG42" s="68"/>
      <c r="AI42" s="73">
        <v>25</v>
      </c>
      <c r="AJ42" s="73"/>
    </row>
    <row r="43" spans="1:39" ht="12" thickBot="1">
      <c r="A43" s="580"/>
      <c r="B43" s="581"/>
      <c r="C43" s="585"/>
      <c r="D43" s="76" t="s">
        <v>69</v>
      </c>
      <c r="E43" s="77"/>
      <c r="F43" s="77"/>
      <c r="G43" s="78"/>
      <c r="H43" s="77"/>
      <c r="I43" s="78"/>
      <c r="J43" s="77"/>
      <c r="K43" s="101"/>
      <c r="L43" s="80"/>
      <c r="M43" s="102">
        <f>SUM(M33:M42)</f>
        <v>463174804</v>
      </c>
      <c r="N43" s="103">
        <f t="shared" ref="N43:AA43" si="104">SUM(N33:N42)</f>
        <v>0</v>
      </c>
      <c r="O43" s="103">
        <f t="shared" si="104"/>
        <v>0</v>
      </c>
      <c r="P43" s="103">
        <f t="shared" si="104"/>
        <v>0</v>
      </c>
      <c r="Q43" s="103">
        <f>SUM(Q33:Q42)</f>
        <v>2084286.6179999998</v>
      </c>
      <c r="R43" s="102">
        <f t="shared" si="104"/>
        <v>2084286.6179999998</v>
      </c>
      <c r="S43" s="102">
        <f t="shared" si="104"/>
        <v>0</v>
      </c>
      <c r="T43" s="102">
        <f t="shared" si="104"/>
        <v>0</v>
      </c>
      <c r="U43" s="102">
        <f t="shared" si="104"/>
        <v>0</v>
      </c>
      <c r="V43" s="102">
        <f t="shared" si="104"/>
        <v>0</v>
      </c>
      <c r="W43" s="102">
        <f t="shared" si="104"/>
        <v>0</v>
      </c>
      <c r="X43" s="102">
        <f t="shared" si="104"/>
        <v>0</v>
      </c>
      <c r="Y43" s="104">
        <f t="shared" si="104"/>
        <v>0</v>
      </c>
      <c r="Z43" s="105">
        <f t="shared" si="104"/>
        <v>465259091</v>
      </c>
      <c r="AA43" s="103">
        <f t="shared" si="104"/>
        <v>0</v>
      </c>
      <c r="AB43" s="106">
        <f>+AA43/Z43</f>
        <v>0</v>
      </c>
      <c r="AC43" s="102">
        <f>SUM(AC33:AC42)</f>
        <v>463174804</v>
      </c>
      <c r="AD43" s="102">
        <f>SUM(AD33:AD42)</f>
        <v>2084286.6179999998</v>
      </c>
      <c r="AE43" s="102">
        <f>SUM(AE33:AE42)</f>
        <v>0</v>
      </c>
      <c r="AF43" s="107">
        <f>SUM(AF33:AF42)</f>
        <v>0</v>
      </c>
      <c r="AG43" s="68">
        <f t="shared" si="59"/>
        <v>0.38200000021606684</v>
      </c>
      <c r="AI43" s="73" t="e">
        <f>+Z43/#REF!</f>
        <v>#REF!</v>
      </c>
      <c r="AJ43" s="86"/>
      <c r="AK43" s="86"/>
      <c r="AL43" s="86"/>
      <c r="AM43" s="86"/>
    </row>
    <row r="44" spans="1:39">
      <c r="A44" s="580"/>
      <c r="B44" s="581"/>
      <c r="C44" s="108"/>
      <c r="D44" s="109" t="s">
        <v>49</v>
      </c>
      <c r="E44" s="37"/>
      <c r="F44" s="38"/>
      <c r="G44" s="38"/>
      <c r="H44" s="38"/>
      <c r="I44" s="38"/>
      <c r="J44" s="38"/>
      <c r="K44" s="39"/>
      <c r="L44" s="39"/>
      <c r="M44" s="48"/>
      <c r="N44" s="110"/>
      <c r="O44" s="111">
        <v>5.0000000000000001E-3</v>
      </c>
      <c r="P44" s="111">
        <v>5.0000000000000001E-3</v>
      </c>
      <c r="Q44" s="112">
        <f>+Q32</f>
        <v>4.4999999999999997E-3</v>
      </c>
      <c r="R44" s="174"/>
      <c r="S44" s="113">
        <v>0.45450000000000002</v>
      </c>
      <c r="T44" s="43">
        <f>+T53/$Z$43</f>
        <v>1.1606092399815139E-2</v>
      </c>
      <c r="U44" s="43">
        <f>+U53/$Z$43</f>
        <v>3.6269038749422311E-4</v>
      </c>
      <c r="V44" s="43">
        <f>+V53/$Z$43</f>
        <v>8.7045692998613544E-4</v>
      </c>
      <c r="W44" s="43">
        <f>+W53/$Z$43</f>
        <v>1.502568244926567E-3</v>
      </c>
      <c r="X44" s="43">
        <f>+X53/$Z$43</f>
        <v>2.1761423249653383E-3</v>
      </c>
      <c r="Y44" s="114">
        <f>SUM(T44:X44)</f>
        <v>1.6517950287187402E-2</v>
      </c>
      <c r="Z44" s="115"/>
      <c r="AA44" s="47"/>
      <c r="AB44" s="116"/>
      <c r="AC44" s="48"/>
      <c r="AD44" s="48"/>
      <c r="AE44" s="48"/>
      <c r="AF44" s="49"/>
      <c r="AG44" s="68">
        <f t="shared" si="59"/>
        <v>0</v>
      </c>
      <c r="AI44" s="73"/>
      <c r="AJ44" s="86"/>
      <c r="AK44" s="86"/>
      <c r="AL44" s="86"/>
      <c r="AM44" s="86"/>
    </row>
    <row r="45" spans="1:39">
      <c r="A45" s="580"/>
      <c r="B45" s="581"/>
      <c r="C45" s="584">
        <v>3</v>
      </c>
      <c r="D45" s="582" t="s">
        <v>77</v>
      </c>
      <c r="E45" s="583"/>
      <c r="F45" s="583"/>
      <c r="G45" s="583"/>
      <c r="K45" s="2"/>
      <c r="L45" s="53"/>
      <c r="M45" s="54"/>
      <c r="O45" s="53"/>
      <c r="P45" s="53"/>
      <c r="Q45" s="53"/>
      <c r="R45" s="55"/>
      <c r="S45" s="3"/>
      <c r="T45" s="53"/>
      <c r="U45" s="53"/>
      <c r="V45" s="53"/>
      <c r="W45" s="53"/>
      <c r="X45" s="53"/>
      <c r="Y45" s="53"/>
      <c r="Z45" s="56"/>
      <c r="AA45" s="3"/>
      <c r="AB45" s="57"/>
      <c r="AC45" s="56"/>
      <c r="AD45" s="3"/>
      <c r="AE45" s="3"/>
      <c r="AF45" s="58"/>
      <c r="AG45" s="5"/>
      <c r="AI45" s="73"/>
      <c r="AJ45" s="86"/>
      <c r="AK45" s="86"/>
      <c r="AL45" s="86"/>
      <c r="AM45" s="86"/>
    </row>
    <row r="46" spans="1:39">
      <c r="A46" s="580"/>
      <c r="B46" s="581"/>
      <c r="C46" s="584"/>
      <c r="D46" s="60" t="s">
        <v>53</v>
      </c>
      <c r="K46" s="2"/>
      <c r="L46" s="53"/>
      <c r="M46" s="62"/>
      <c r="R46" s="4"/>
      <c r="S46" s="3"/>
      <c r="T46" s="53"/>
      <c r="U46" s="53"/>
      <c r="V46" s="53"/>
      <c r="W46" s="53"/>
      <c r="X46" s="53"/>
      <c r="Y46" s="53"/>
      <c r="Z46" s="56"/>
      <c r="AA46" s="3"/>
      <c r="AB46" s="57"/>
      <c r="AC46" s="63"/>
      <c r="AF46" s="64"/>
      <c r="AG46" s="5"/>
      <c r="AI46" s="73"/>
      <c r="AJ46" s="86"/>
      <c r="AK46" s="86"/>
      <c r="AL46" s="86"/>
      <c r="AM46" s="86"/>
    </row>
    <row r="47" spans="1:39">
      <c r="A47" s="580"/>
      <c r="B47" s="581"/>
      <c r="C47" s="584"/>
      <c r="D47" s="8" t="s">
        <v>78</v>
      </c>
      <c r="E47" s="1">
        <v>2</v>
      </c>
      <c r="F47" s="1">
        <v>1</v>
      </c>
      <c r="G47" s="52">
        <f t="shared" ref="G47" si="105">+E47/F47</f>
        <v>2</v>
      </c>
      <c r="H47" s="100">
        <v>2</v>
      </c>
      <c r="I47" s="52">
        <f t="shared" ref="I47:I51" si="106">+G47*H47</f>
        <v>4</v>
      </c>
      <c r="J47" s="1">
        <v>1</v>
      </c>
      <c r="K47" s="52">
        <f>+I47*J47</f>
        <v>4</v>
      </c>
      <c r="L47" s="53">
        <v>4500000</v>
      </c>
      <c r="M47" s="54">
        <f t="shared" ref="M47:M51" si="107">+K47*L47</f>
        <v>18000000</v>
      </c>
      <c r="N47" s="3">
        <f>30000000*L52</f>
        <v>0</v>
      </c>
      <c r="O47" s="53">
        <f>+M47*$O$11</f>
        <v>0</v>
      </c>
      <c r="P47" s="53">
        <f>+M47*$P$11</f>
        <v>0</v>
      </c>
      <c r="Q47" s="53">
        <f t="shared" ref="Q47:Q51" si="108">+M47*$Q$11</f>
        <v>81000</v>
      </c>
      <c r="R47" s="55">
        <f t="shared" ref="R47:R51" si="109">SUM(N47:Q47)</f>
        <v>81000</v>
      </c>
      <c r="S47" s="3">
        <f t="shared" ref="S47:S51" si="110">ROUND((+M47+R47)/(1-$S$11),-3)</f>
        <v>25359000</v>
      </c>
      <c r="T47" s="53">
        <f t="shared" ref="T47:T51" si="111">+S47*$T$10</f>
        <v>4057440</v>
      </c>
      <c r="U47" s="53">
        <f t="shared" ref="U47:U51" si="112">+S47*$U$10</f>
        <v>126795</v>
      </c>
      <c r="V47" s="53">
        <f t="shared" ref="V47:V51" si="113">+S47*$V$10</f>
        <v>304308</v>
      </c>
      <c r="W47" s="53">
        <f t="shared" ref="W47:W51" si="114">+S47*$W$10</f>
        <v>525291.39779999992</v>
      </c>
      <c r="X47" s="53">
        <f t="shared" ref="X47:X51" si="115">+S47*$X$10</f>
        <v>760770</v>
      </c>
      <c r="Y47" s="67">
        <f t="shared" ref="Y47:Y51" si="116">SUM(T47:X47)</f>
        <v>5774604.3978000004</v>
      </c>
      <c r="Z47" s="56">
        <f>ROUND((+Y47+R47+M47)/(1-$Z$10),0)-467</f>
        <v>30458719</v>
      </c>
      <c r="AA47" s="3">
        <f t="shared" ref="AA47:AA51" si="117">ROUND((+Z47-Y47-R47-M47),0)</f>
        <v>6603115</v>
      </c>
      <c r="AB47" s="57">
        <f t="shared" ref="AB47:AB51" si="118">+AA47/Z47</f>
        <v>0.21678899234074814</v>
      </c>
      <c r="AC47" s="56">
        <f t="shared" ref="AC47:AC51" si="119">+M47</f>
        <v>18000000</v>
      </c>
      <c r="AD47" s="3">
        <f t="shared" ref="AD47:AD51" si="120">+R47</f>
        <v>81000</v>
      </c>
      <c r="AE47" s="3">
        <f t="shared" ref="AE47:AE51" si="121">+Y47</f>
        <v>5774604.3978000004</v>
      </c>
      <c r="AF47" s="58">
        <f t="shared" ref="AF47:AF51" si="122">+AA47</f>
        <v>6603115</v>
      </c>
      <c r="AG47" s="68">
        <f t="shared" ref="AG47:AG51" si="123">+Z47-AC47-AD47-AE47-AF47</f>
        <v>-0.39780000038444996</v>
      </c>
      <c r="AI47" s="73"/>
      <c r="AJ47" s="86"/>
      <c r="AK47" s="86"/>
      <c r="AL47" s="86"/>
      <c r="AM47" s="86"/>
    </row>
    <row r="48" spans="1:39">
      <c r="A48" s="580"/>
      <c r="B48" s="581"/>
      <c r="C48" s="584"/>
      <c r="D48" s="8" t="s">
        <v>79</v>
      </c>
      <c r="E48" s="1">
        <v>15</v>
      </c>
      <c r="F48" s="1">
        <v>1</v>
      </c>
      <c r="G48" s="52">
        <f>+E48/F48</f>
        <v>15</v>
      </c>
      <c r="H48" s="100">
        <v>1</v>
      </c>
      <c r="I48" s="52">
        <f t="shared" si="106"/>
        <v>15</v>
      </c>
      <c r="J48" s="1">
        <v>2</v>
      </c>
      <c r="K48" s="52">
        <f>+I48*J48</f>
        <v>30</v>
      </c>
      <c r="L48" s="53">
        <v>8500</v>
      </c>
      <c r="M48" s="54">
        <f t="shared" si="107"/>
        <v>255000</v>
      </c>
      <c r="N48" s="3">
        <f>+K48*$N$11</f>
        <v>0</v>
      </c>
      <c r="O48" s="53">
        <f>+M48*$O$11</f>
        <v>0</v>
      </c>
      <c r="P48" s="53">
        <f>+M48*$P$11</f>
        <v>0</v>
      </c>
      <c r="Q48" s="53">
        <f t="shared" si="108"/>
        <v>1147.5</v>
      </c>
      <c r="R48" s="55">
        <f t="shared" si="109"/>
        <v>1147.5</v>
      </c>
      <c r="S48" s="3">
        <f t="shared" si="110"/>
        <v>359000</v>
      </c>
      <c r="T48" s="53">
        <f t="shared" si="111"/>
        <v>57440</v>
      </c>
      <c r="U48" s="53">
        <f t="shared" si="112"/>
        <v>1795</v>
      </c>
      <c r="V48" s="53">
        <f t="shared" si="113"/>
        <v>4308</v>
      </c>
      <c r="W48" s="53">
        <f t="shared" si="114"/>
        <v>7436.3977999999997</v>
      </c>
      <c r="X48" s="53">
        <f t="shared" si="115"/>
        <v>10770</v>
      </c>
      <c r="Y48" s="67">
        <f t="shared" si="116"/>
        <v>81749.397800000006</v>
      </c>
      <c r="Z48" s="56">
        <f t="shared" ref="Z48:Z51" si="124">ROUND((+Y48+R48+M48)/(1-$Z$10),0)</f>
        <v>431432</v>
      </c>
      <c r="AA48" s="3">
        <f t="shared" si="117"/>
        <v>93535</v>
      </c>
      <c r="AB48" s="57">
        <f t="shared" si="118"/>
        <v>0.21680125720855198</v>
      </c>
      <c r="AC48" s="56">
        <f t="shared" si="119"/>
        <v>255000</v>
      </c>
      <c r="AD48" s="3">
        <f t="shared" si="120"/>
        <v>1147.5</v>
      </c>
      <c r="AE48" s="3">
        <f t="shared" si="121"/>
        <v>81749.397800000006</v>
      </c>
      <c r="AF48" s="58">
        <f t="shared" si="122"/>
        <v>93535</v>
      </c>
      <c r="AG48" s="68">
        <f t="shared" si="123"/>
        <v>0.10219999999389984</v>
      </c>
      <c r="AI48" s="73"/>
      <c r="AJ48" s="86"/>
      <c r="AK48" s="86"/>
      <c r="AL48" s="86"/>
      <c r="AM48" s="86"/>
    </row>
    <row r="49" spans="1:39">
      <c r="A49" s="580"/>
      <c r="B49" s="581"/>
      <c r="C49" s="584"/>
      <c r="D49" s="8" t="s">
        <v>80</v>
      </c>
      <c r="E49" s="1">
        <v>1</v>
      </c>
      <c r="F49" s="1">
        <v>1</v>
      </c>
      <c r="G49" s="52">
        <f t="shared" ref="G49:G51" si="125">+E49/F49</f>
        <v>1</v>
      </c>
      <c r="H49" s="100">
        <v>1</v>
      </c>
      <c r="I49" s="52">
        <f t="shared" si="106"/>
        <v>1</v>
      </c>
      <c r="J49" s="1">
        <v>60</v>
      </c>
      <c r="K49" s="52">
        <f>+I49*J49</f>
        <v>60</v>
      </c>
      <c r="L49" s="53">
        <v>35000</v>
      </c>
      <c r="M49" s="54">
        <f t="shared" si="107"/>
        <v>2100000</v>
      </c>
      <c r="N49" s="3">
        <f>+K49*$N$11</f>
        <v>0</v>
      </c>
      <c r="O49" s="53">
        <f>+M49*$O$11</f>
        <v>0</v>
      </c>
      <c r="P49" s="53">
        <f>+M49*$P$11</f>
        <v>0</v>
      </c>
      <c r="Q49" s="53">
        <f t="shared" si="108"/>
        <v>9450</v>
      </c>
      <c r="R49" s="55">
        <f t="shared" si="109"/>
        <v>9450</v>
      </c>
      <c r="S49" s="3">
        <f t="shared" si="110"/>
        <v>2959000</v>
      </c>
      <c r="T49" s="53">
        <f t="shared" si="111"/>
        <v>473440</v>
      </c>
      <c r="U49" s="53">
        <f t="shared" si="112"/>
        <v>14795</v>
      </c>
      <c r="V49" s="53">
        <f t="shared" si="113"/>
        <v>35508</v>
      </c>
      <c r="W49" s="53">
        <f t="shared" si="114"/>
        <v>61293.317799999997</v>
      </c>
      <c r="X49" s="53">
        <f t="shared" si="115"/>
        <v>88770</v>
      </c>
      <c r="Y49" s="67">
        <f t="shared" si="116"/>
        <v>673806.31779999996</v>
      </c>
      <c r="Z49" s="56">
        <f t="shared" si="124"/>
        <v>3553703</v>
      </c>
      <c r="AA49" s="3">
        <f t="shared" si="117"/>
        <v>770447</v>
      </c>
      <c r="AB49" s="57">
        <f t="shared" si="118"/>
        <v>0.21680117893926421</v>
      </c>
      <c r="AC49" s="56">
        <f t="shared" si="119"/>
        <v>2100000</v>
      </c>
      <c r="AD49" s="3">
        <f t="shared" si="120"/>
        <v>9450</v>
      </c>
      <c r="AE49" s="3">
        <f t="shared" si="121"/>
        <v>673806.31779999996</v>
      </c>
      <c r="AF49" s="58">
        <f t="shared" si="122"/>
        <v>770447</v>
      </c>
      <c r="AG49" s="68">
        <f t="shared" si="123"/>
        <v>-0.31779999996069819</v>
      </c>
      <c r="AI49" s="73"/>
      <c r="AJ49" s="86"/>
      <c r="AK49" s="86"/>
      <c r="AL49" s="86"/>
      <c r="AM49" s="86"/>
    </row>
    <row r="50" spans="1:39">
      <c r="A50" s="580"/>
      <c r="B50" s="581"/>
      <c r="C50" s="584"/>
      <c r="D50" s="8" t="s">
        <v>81</v>
      </c>
      <c r="E50" s="1">
        <v>1</v>
      </c>
      <c r="F50" s="1">
        <v>1</v>
      </c>
      <c r="G50" s="52">
        <f t="shared" si="125"/>
        <v>1</v>
      </c>
      <c r="H50" s="100">
        <v>1</v>
      </c>
      <c r="I50" s="52">
        <f t="shared" si="106"/>
        <v>1</v>
      </c>
      <c r="J50" s="1">
        <v>1</v>
      </c>
      <c r="K50" s="52">
        <f>+I50*J50</f>
        <v>1</v>
      </c>
      <c r="L50" s="53">
        <f>+M47*20%</f>
        <v>3600000</v>
      </c>
      <c r="M50" s="54">
        <f t="shared" si="107"/>
        <v>3600000</v>
      </c>
      <c r="N50" s="3">
        <f>+K50*$N$11</f>
        <v>0</v>
      </c>
      <c r="O50" s="53">
        <f>+M50*$O$11</f>
        <v>0</v>
      </c>
      <c r="P50" s="53">
        <f>+M50*$P$11</f>
        <v>0</v>
      </c>
      <c r="Q50" s="53">
        <f t="shared" si="108"/>
        <v>16199.999999999998</v>
      </c>
      <c r="R50" s="55">
        <f t="shared" si="109"/>
        <v>16199.999999999998</v>
      </c>
      <c r="S50" s="3">
        <f t="shared" si="110"/>
        <v>5072000</v>
      </c>
      <c r="T50" s="53">
        <f t="shared" si="111"/>
        <v>811520</v>
      </c>
      <c r="U50" s="53">
        <f t="shared" si="112"/>
        <v>25360</v>
      </c>
      <c r="V50" s="53">
        <f t="shared" si="113"/>
        <v>60864</v>
      </c>
      <c r="W50" s="53">
        <f t="shared" si="114"/>
        <v>105062.4224</v>
      </c>
      <c r="X50" s="53">
        <f t="shared" si="115"/>
        <v>152160</v>
      </c>
      <c r="Y50" s="67">
        <f t="shared" si="116"/>
        <v>1154966.4224</v>
      </c>
      <c r="Z50" s="56">
        <f t="shared" si="124"/>
        <v>6091895</v>
      </c>
      <c r="AA50" s="3">
        <f t="shared" si="117"/>
        <v>1320729</v>
      </c>
      <c r="AB50" s="57">
        <f t="shared" si="118"/>
        <v>0.21680101183621844</v>
      </c>
      <c r="AC50" s="56">
        <f t="shared" si="119"/>
        <v>3600000</v>
      </c>
      <c r="AD50" s="3">
        <f t="shared" si="120"/>
        <v>16199.999999999998</v>
      </c>
      <c r="AE50" s="3">
        <f t="shared" si="121"/>
        <v>1154966.4224</v>
      </c>
      <c r="AF50" s="58">
        <f t="shared" si="122"/>
        <v>1320729</v>
      </c>
      <c r="AG50" s="68">
        <f t="shared" si="123"/>
        <v>-0.42240000003948808</v>
      </c>
      <c r="AI50" s="73"/>
      <c r="AJ50" s="86"/>
      <c r="AK50" s="86"/>
      <c r="AL50" s="86"/>
      <c r="AM50" s="86"/>
    </row>
    <row r="51" spans="1:39">
      <c r="A51" s="580"/>
      <c r="B51" s="581"/>
      <c r="C51" s="584"/>
      <c r="D51" s="8"/>
      <c r="E51" s="1">
        <v>0</v>
      </c>
      <c r="F51" s="1">
        <v>1</v>
      </c>
      <c r="G51" s="52">
        <f t="shared" si="125"/>
        <v>0</v>
      </c>
      <c r="H51" s="100">
        <v>0</v>
      </c>
      <c r="I51" s="52">
        <f t="shared" si="106"/>
        <v>0</v>
      </c>
      <c r="J51" s="1">
        <v>1</v>
      </c>
      <c r="K51" s="52">
        <f>+I51*J51</f>
        <v>0</v>
      </c>
      <c r="L51" s="53">
        <v>0</v>
      </c>
      <c r="M51" s="54">
        <f t="shared" si="107"/>
        <v>0</v>
      </c>
      <c r="N51" s="3">
        <f>+M51*$N$11*0</f>
        <v>0</v>
      </c>
      <c r="O51" s="53">
        <f>+M51*$O$11*0</f>
        <v>0</v>
      </c>
      <c r="P51" s="53">
        <f>+M51*$P$11*0</f>
        <v>0</v>
      </c>
      <c r="Q51" s="53">
        <f t="shared" si="108"/>
        <v>0</v>
      </c>
      <c r="R51" s="175">
        <f t="shared" si="109"/>
        <v>0</v>
      </c>
      <c r="S51" s="3">
        <f t="shared" si="110"/>
        <v>0</v>
      </c>
      <c r="T51" s="53">
        <f t="shared" si="111"/>
        <v>0</v>
      </c>
      <c r="U51" s="53">
        <f t="shared" si="112"/>
        <v>0</v>
      </c>
      <c r="V51" s="53">
        <f t="shared" si="113"/>
        <v>0</v>
      </c>
      <c r="W51" s="53">
        <f t="shared" si="114"/>
        <v>0</v>
      </c>
      <c r="X51" s="53">
        <f t="shared" si="115"/>
        <v>0</v>
      </c>
      <c r="Y51" s="67">
        <f t="shared" si="116"/>
        <v>0</v>
      </c>
      <c r="Z51" s="56">
        <f t="shared" si="124"/>
        <v>0</v>
      </c>
      <c r="AA51" s="3">
        <f t="shared" si="117"/>
        <v>0</v>
      </c>
      <c r="AB51" s="57" t="e">
        <f t="shared" si="118"/>
        <v>#DIV/0!</v>
      </c>
      <c r="AC51" s="56">
        <f t="shared" si="119"/>
        <v>0</v>
      </c>
      <c r="AD51" s="3">
        <f t="shared" si="120"/>
        <v>0</v>
      </c>
      <c r="AE51" s="3">
        <f t="shared" si="121"/>
        <v>0</v>
      </c>
      <c r="AF51" s="58">
        <f t="shared" si="122"/>
        <v>0</v>
      </c>
      <c r="AG51" s="68">
        <f t="shared" si="123"/>
        <v>0</v>
      </c>
      <c r="AI51" s="73"/>
      <c r="AJ51" s="86"/>
      <c r="AK51" s="86"/>
      <c r="AL51" s="86"/>
      <c r="AM51" s="86"/>
    </row>
    <row r="52" spans="1:39">
      <c r="A52" s="580"/>
      <c r="B52" s="581"/>
      <c r="C52" s="584"/>
      <c r="D52" s="71"/>
      <c r="K52" s="2"/>
      <c r="L52" s="53"/>
      <c r="M52" s="54"/>
      <c r="O52" s="53"/>
      <c r="P52" s="53"/>
      <c r="Q52" s="53"/>
      <c r="R52" s="175"/>
      <c r="S52" s="3"/>
      <c r="T52" s="53"/>
      <c r="U52" s="53"/>
      <c r="V52" s="53"/>
      <c r="W52" s="53"/>
      <c r="X52" s="53"/>
      <c r="Y52" s="67"/>
      <c r="Z52" s="56"/>
      <c r="AA52" s="3"/>
      <c r="AB52" s="72"/>
      <c r="AC52" s="56"/>
      <c r="AD52" s="3"/>
      <c r="AE52" s="3"/>
      <c r="AF52" s="58"/>
      <c r="AG52" s="68"/>
      <c r="AI52" s="73"/>
      <c r="AJ52" s="86"/>
      <c r="AK52" s="86"/>
      <c r="AL52" s="86"/>
      <c r="AM52" s="86"/>
    </row>
    <row r="53" spans="1:39" ht="12" thickBot="1">
      <c r="A53" s="580"/>
      <c r="B53" s="581"/>
      <c r="C53" s="585"/>
      <c r="D53" s="76" t="s">
        <v>69</v>
      </c>
      <c r="E53" s="77"/>
      <c r="F53" s="77"/>
      <c r="G53" s="78"/>
      <c r="H53" s="77"/>
      <c r="I53" s="78"/>
      <c r="J53" s="79"/>
      <c r="K53" s="78"/>
      <c r="L53" s="80"/>
      <c r="M53" s="117">
        <f t="shared" ref="M53:AA53" si="126">SUM(M45:M52)</f>
        <v>23955000</v>
      </c>
      <c r="N53" s="118">
        <f t="shared" si="126"/>
        <v>0</v>
      </c>
      <c r="O53" s="118">
        <f t="shared" si="126"/>
        <v>0</v>
      </c>
      <c r="P53" s="118">
        <f t="shared" si="126"/>
        <v>0</v>
      </c>
      <c r="Q53" s="118">
        <f t="shared" si="126"/>
        <v>107797.5</v>
      </c>
      <c r="R53" s="117">
        <f t="shared" si="126"/>
        <v>107797.5</v>
      </c>
      <c r="S53" s="117">
        <f t="shared" si="126"/>
        <v>33749000</v>
      </c>
      <c r="T53" s="117">
        <f t="shared" si="126"/>
        <v>5399840</v>
      </c>
      <c r="U53" s="117">
        <f t="shared" si="126"/>
        <v>168745</v>
      </c>
      <c r="V53" s="117">
        <f t="shared" si="126"/>
        <v>404988</v>
      </c>
      <c r="W53" s="117">
        <f t="shared" si="126"/>
        <v>699083.53579999995</v>
      </c>
      <c r="X53" s="117">
        <f t="shared" si="126"/>
        <v>1012470</v>
      </c>
      <c r="Y53" s="119">
        <f t="shared" si="126"/>
        <v>7685126.5358000007</v>
      </c>
      <c r="Z53" s="120">
        <f t="shared" si="126"/>
        <v>40535749</v>
      </c>
      <c r="AA53" s="118">
        <f t="shared" si="126"/>
        <v>8787826</v>
      </c>
      <c r="AB53" s="121">
        <f>+AA53/Z53</f>
        <v>0.21679199760191922</v>
      </c>
      <c r="AC53" s="117">
        <f>SUM(AC45:AC52)</f>
        <v>23955000</v>
      </c>
      <c r="AD53" s="117">
        <f>SUM(AD45:AD52)</f>
        <v>107797.5</v>
      </c>
      <c r="AE53" s="117">
        <f>SUM(AE45:AE52)</f>
        <v>7685126.5358000007</v>
      </c>
      <c r="AF53" s="122">
        <f>SUM(AF45:AF52)</f>
        <v>8787826</v>
      </c>
      <c r="AG53" s="68">
        <f t="shared" ref="AG53:AG54" si="127">+Z53-AC53-AD53-AE53-AF53</f>
        <v>-1.0358000006526709</v>
      </c>
      <c r="AI53" s="73"/>
      <c r="AJ53" s="86"/>
      <c r="AK53" s="86"/>
      <c r="AL53" s="86"/>
      <c r="AM53" s="86"/>
    </row>
    <row r="54" spans="1:39">
      <c r="M54" s="123"/>
      <c r="AG54" s="68">
        <f t="shared" si="127"/>
        <v>0</v>
      </c>
    </row>
    <row r="55" spans="1:39" s="124" customFormat="1">
      <c r="D55" s="125" t="s">
        <v>82</v>
      </c>
      <c r="G55" s="126"/>
      <c r="I55" s="126"/>
      <c r="K55" s="127">
        <f>+K53+K43+K31</f>
        <v>16761</v>
      </c>
      <c r="L55" s="127"/>
      <c r="M55" s="127">
        <f>+M53+M43+M31</f>
        <v>1846663824.4400001</v>
      </c>
      <c r="N55" s="127"/>
      <c r="O55" s="128"/>
      <c r="P55" s="128"/>
      <c r="Q55" s="127">
        <f t="shared" ref="Q55:AG55" si="128">+Q53+Q43+Q31</f>
        <v>8309987.2099799989</v>
      </c>
      <c r="R55" s="127">
        <f t="shared" si="128"/>
        <v>8309987.2099799989</v>
      </c>
      <c r="S55" s="127">
        <f t="shared" si="128"/>
        <v>1949109000</v>
      </c>
      <c r="T55" s="127">
        <f t="shared" si="128"/>
        <v>311857440</v>
      </c>
      <c r="U55" s="127">
        <f t="shared" si="128"/>
        <v>9745545</v>
      </c>
      <c r="V55" s="127">
        <f t="shared" si="128"/>
        <v>23389308</v>
      </c>
      <c r="W55" s="127">
        <f t="shared" si="128"/>
        <v>40374233.647799991</v>
      </c>
      <c r="X55" s="127">
        <f t="shared" si="128"/>
        <v>58473270</v>
      </c>
      <c r="Y55" s="127">
        <f t="shared" si="128"/>
        <v>443839796.64779997</v>
      </c>
      <c r="Z55" s="127">
        <f>+Z53+Z43+Z31</f>
        <v>2850171618.6500001</v>
      </c>
      <c r="AA55" s="127">
        <f t="shared" si="128"/>
        <v>551358011</v>
      </c>
      <c r="AB55" s="127">
        <f t="shared" si="128"/>
        <v>0.44822671830941441</v>
      </c>
      <c r="AC55" s="127">
        <f t="shared" si="128"/>
        <v>1846663824.4400001</v>
      </c>
      <c r="AD55" s="127">
        <f t="shared" si="128"/>
        <v>8309987.2099799989</v>
      </c>
      <c r="AE55" s="127">
        <f t="shared" si="128"/>
        <v>443839796.64779997</v>
      </c>
      <c r="AF55" s="127">
        <f t="shared" si="128"/>
        <v>551358011</v>
      </c>
      <c r="AG55" s="127">
        <f t="shared" si="128"/>
        <v>-0.64777993131428957</v>
      </c>
    </row>
    <row r="56" spans="1:39">
      <c r="D56" s="4"/>
      <c r="M56" s="5"/>
      <c r="N56" s="5"/>
      <c r="O56" s="5"/>
      <c r="P56" s="5"/>
      <c r="Q56" s="5"/>
      <c r="R56" s="5"/>
      <c r="S56" s="5"/>
      <c r="T56" s="5"/>
      <c r="U56" s="5"/>
      <c r="V56" s="5"/>
      <c r="W56" s="5"/>
      <c r="X56" s="5"/>
      <c r="Y56" s="129">
        <f>+Y55/Z55</f>
        <v>0.15572388474558849</v>
      </c>
      <c r="Z56" s="5"/>
      <c r="AA56" s="129">
        <f>+AA55/Z55</f>
        <v>0.19344730239828639</v>
      </c>
      <c r="AB56" s="130"/>
      <c r="AC56" s="131"/>
      <c r="AD56" s="131"/>
      <c r="AE56" s="131"/>
      <c r="AF56" s="131"/>
      <c r="AG56" s="132"/>
    </row>
    <row r="57" spans="1:39">
      <c r="D57" s="4" t="str">
        <f>+A4</f>
        <v>Entidad</v>
      </c>
      <c r="E57" s="1" t="str">
        <f>+D4</f>
        <v>CCB</v>
      </c>
      <c r="K57" s="3"/>
      <c r="M57" s="5"/>
      <c r="N57" s="129"/>
      <c r="O57" s="5"/>
      <c r="P57" s="5"/>
      <c r="Q57" s="5"/>
      <c r="R57" s="5"/>
      <c r="S57" s="5"/>
      <c r="T57" s="129"/>
      <c r="U57" s="129"/>
      <c r="V57" s="129"/>
      <c r="W57" s="129"/>
      <c r="X57" s="129"/>
      <c r="Y57" s="129">
        <f>+Y56+AA56</f>
        <v>0.34917118714387485</v>
      </c>
      <c r="Z57" s="5"/>
      <c r="AA57" s="129"/>
      <c r="AB57" s="130"/>
      <c r="AC57" s="5"/>
      <c r="AD57" s="5"/>
      <c r="AE57" s="129"/>
      <c r="AF57" s="5"/>
      <c r="AG57" s="132"/>
    </row>
    <row r="58" spans="1:39">
      <c r="D58" s="4" t="str">
        <f>+A5</f>
        <v>Nombre del Proyecto</v>
      </c>
      <c r="E58" s="1" t="str">
        <f>+D5</f>
        <v>RETAS DE FORTALECIMIENTO</v>
      </c>
      <c r="K58" s="3"/>
      <c r="M58" s="5"/>
      <c r="N58" s="11"/>
      <c r="O58" s="5"/>
      <c r="P58" s="5"/>
      <c r="Q58" s="5"/>
      <c r="R58" s="5"/>
      <c r="S58" s="5"/>
      <c r="T58" s="5"/>
      <c r="U58" s="5"/>
      <c r="V58" s="5"/>
      <c r="W58" s="5"/>
      <c r="X58" s="5"/>
      <c r="Y58" s="129"/>
      <c r="Z58" s="5"/>
      <c r="AA58" s="129"/>
      <c r="AB58" s="130"/>
      <c r="AC58" s="5"/>
      <c r="AD58" s="5"/>
      <c r="AE58" s="5"/>
      <c r="AF58" s="5"/>
      <c r="AG58" s="132"/>
    </row>
    <row r="59" spans="1:39">
      <c r="D59" s="4" t="str">
        <f>+A6</f>
        <v>Tipo de Proyecto</v>
      </c>
      <c r="E59" s="1" t="str">
        <f>+D6</f>
        <v>CONTRATO</v>
      </c>
      <c r="K59" s="3"/>
      <c r="L59" s="133"/>
      <c r="M59" s="5"/>
      <c r="N59" s="11"/>
      <c r="O59" s="5"/>
      <c r="P59" s="5"/>
      <c r="Q59" s="5"/>
      <c r="R59" s="5"/>
      <c r="S59" s="5"/>
      <c r="T59" s="5"/>
      <c r="U59" s="5"/>
      <c r="V59" s="5"/>
      <c r="W59" s="5"/>
      <c r="X59" s="5"/>
      <c r="Y59" s="5"/>
      <c r="Z59" s="5"/>
      <c r="AA59" s="5"/>
      <c r="AB59" s="130"/>
      <c r="AC59" s="5"/>
      <c r="AD59" s="5"/>
      <c r="AE59" s="5"/>
      <c r="AF59" s="5"/>
      <c r="AG59" s="132"/>
    </row>
    <row r="60" spans="1:39">
      <c r="D60" s="4" t="str">
        <f>+A7</f>
        <v>Tiempo de Ejecucion</v>
      </c>
      <c r="E60" s="1" t="str">
        <f>+D7</f>
        <v>11 MESES</v>
      </c>
      <c r="M60" s="5"/>
      <c r="N60" s="5"/>
      <c r="AG60" s="3"/>
    </row>
    <row r="61" spans="1:39" s="124" customFormat="1" ht="22.5">
      <c r="A61" s="134" t="s">
        <v>11</v>
      </c>
      <c r="B61" s="593" t="s">
        <v>83</v>
      </c>
      <c r="C61" s="593"/>
      <c r="D61" s="593"/>
      <c r="E61" s="135" t="str">
        <f>+Z9</f>
        <v>Precio de Venta</v>
      </c>
      <c r="F61" s="135" t="str">
        <f>+AC9</f>
        <v>Costo Directo</v>
      </c>
      <c r="G61" s="135" t="s">
        <v>15</v>
      </c>
      <c r="H61" s="135" t="str">
        <f>+AE9</f>
        <v>Gastos de Administracion</v>
      </c>
      <c r="I61" s="135" t="str">
        <f>+AF9</f>
        <v>Rentabilidad Calculada</v>
      </c>
      <c r="J61" s="1"/>
      <c r="M61" s="136"/>
      <c r="N61" s="128"/>
      <c r="Z61" s="137"/>
      <c r="AA61" s="137"/>
    </row>
    <row r="62" spans="1:39" ht="24.75" customHeight="1" thickBot="1">
      <c r="A62" s="138">
        <f>+C12</f>
        <v>0</v>
      </c>
      <c r="B62" s="594"/>
      <c r="C62" s="595"/>
      <c r="D62" s="139" t="s">
        <v>84</v>
      </c>
      <c r="E62" s="140">
        <f>+Z55</f>
        <v>2850171618.6500001</v>
      </c>
      <c r="F62" s="141">
        <f>+M55</f>
        <v>1846663824.4400001</v>
      </c>
      <c r="G62" s="141">
        <f>+R55</f>
        <v>8309987.2099799989</v>
      </c>
      <c r="H62" s="141">
        <f>+Y55</f>
        <v>443839796.64779997</v>
      </c>
      <c r="I62" s="141">
        <f>+AA55+1</f>
        <v>551358012</v>
      </c>
      <c r="J62" s="3"/>
      <c r="K62" s="3"/>
      <c r="M62" s="142"/>
      <c r="N62" s="5"/>
    </row>
    <row r="63" spans="1:39">
      <c r="C63" s="143" t="s">
        <v>84</v>
      </c>
      <c r="D63" s="144"/>
      <c r="E63" s="144">
        <f>SUM(E62:E62)</f>
        <v>2850171618.6500001</v>
      </c>
      <c r="F63" s="144">
        <f>SUM(F62:F62)</f>
        <v>1846663824.4400001</v>
      </c>
      <c r="G63" s="144">
        <f>SUM(G62:G62)</f>
        <v>8309987.2099799989</v>
      </c>
      <c r="H63" s="144">
        <f>SUM(H62:H62)</f>
        <v>443839796.64779997</v>
      </c>
      <c r="I63" s="144">
        <f>SUM(I62:I62)</f>
        <v>551358012</v>
      </c>
      <c r="J63" s="3">
        <f>+E63-F63-G63-H63-I63</f>
        <v>-1.6477799415588379</v>
      </c>
      <c r="K63" s="145"/>
      <c r="L63" s="3"/>
      <c r="M63" s="3"/>
      <c r="O63" s="3"/>
    </row>
    <row r="64" spans="1:39">
      <c r="C64" s="146" t="s">
        <v>85</v>
      </c>
      <c r="D64" s="147"/>
      <c r="E64" s="147">
        <f>+E63/E63</f>
        <v>1</v>
      </c>
      <c r="F64" s="147">
        <f>+F63/E63</f>
        <v>0.64791320366690153</v>
      </c>
      <c r="G64" s="147">
        <f>+G63/E63</f>
        <v>2.9156094165010567E-3</v>
      </c>
      <c r="H64" s="147">
        <f>+H63/E63</f>
        <v>0.15572388474558849</v>
      </c>
      <c r="I64" s="147">
        <f>+I63/E63</f>
        <v>0.19344730274914246</v>
      </c>
      <c r="L64" s="3"/>
      <c r="M64" s="3"/>
      <c r="O64" s="3"/>
    </row>
    <row r="65" spans="4:18">
      <c r="E65" s="3">
        <f>+E63-F87</f>
        <v>-0.1100001335144043</v>
      </c>
      <c r="F65" s="3"/>
      <c r="L65" s="3"/>
      <c r="P65" s="3"/>
    </row>
    <row r="66" spans="4:18">
      <c r="D66" s="1" t="s">
        <v>86</v>
      </c>
      <c r="E66" s="3">
        <f>+AI31</f>
        <v>2850171618.7600002</v>
      </c>
      <c r="F66" s="10">
        <v>0.34</v>
      </c>
      <c r="L66" s="3"/>
      <c r="P66" s="3"/>
    </row>
    <row r="67" spans="4:18">
      <c r="D67" s="1" t="s">
        <v>87</v>
      </c>
      <c r="E67" s="3">
        <f>+E63-E66</f>
        <v>-0.1100001335144043</v>
      </c>
      <c r="F67" s="10">
        <v>0.2</v>
      </c>
      <c r="M67" s="3"/>
    </row>
    <row r="68" spans="4:18">
      <c r="D68" s="1" t="s">
        <v>88</v>
      </c>
      <c r="F68" s="65" t="s">
        <v>89</v>
      </c>
      <c r="M68" s="3"/>
    </row>
    <row r="69" spans="4:18">
      <c r="E69" s="1">
        <v>3198574702</v>
      </c>
      <c r="H69" s="1" t="s">
        <v>144</v>
      </c>
      <c r="M69" s="3"/>
    </row>
    <row r="70" spans="4:18" ht="12">
      <c r="D70" s="148" t="s">
        <v>145</v>
      </c>
      <c r="E70" s="3"/>
      <c r="M70" s="3"/>
    </row>
    <row r="71" spans="4:18">
      <c r="D71" s="149" t="s">
        <v>91</v>
      </c>
      <c r="E71" s="150" t="s">
        <v>92</v>
      </c>
      <c r="F71" s="150" t="s">
        <v>93</v>
      </c>
      <c r="G71" s="151" t="s">
        <v>94</v>
      </c>
      <c r="H71" s="3"/>
      <c r="I71" s="52"/>
      <c r="L71" s="3">
        <v>2025</v>
      </c>
      <c r="M71" s="3"/>
      <c r="O71" s="3"/>
      <c r="P71" s="152"/>
      <c r="R71" s="3"/>
    </row>
    <row r="72" spans="4:18" ht="15" customHeight="1">
      <c r="D72" s="153" t="str">
        <f>+D14</f>
        <v>ECONOMÍA POPULAR</v>
      </c>
      <c r="E72" s="141">
        <f t="shared" ref="E72:E77" si="129">+K14</f>
        <v>1310</v>
      </c>
      <c r="F72" s="154">
        <f t="shared" ref="F72:F86" si="130">+AI14</f>
        <v>230079963.59999999</v>
      </c>
      <c r="G72" s="155">
        <f t="shared" ref="G72:G85" si="131">+F72/E72</f>
        <v>175633.56</v>
      </c>
      <c r="H72" s="3"/>
      <c r="I72" s="3">
        <v>165380</v>
      </c>
      <c r="J72" s="182">
        <f>+G72-I72</f>
        <v>10253.559999999998</v>
      </c>
      <c r="K72" s="10">
        <f>+J72/I72</f>
        <v>6.1999999999999986E-2</v>
      </c>
      <c r="L72" s="3">
        <f t="shared" ref="L72:L77" si="132">+I72*1.062</f>
        <v>175633.56</v>
      </c>
      <c r="M72" s="3">
        <f>+E72*L72</f>
        <v>230079963.59999999</v>
      </c>
      <c r="N72" s="131"/>
      <c r="O72" s="3">
        <f>+G72-I72</f>
        <v>10253.559999999998</v>
      </c>
      <c r="P72" s="131">
        <f>+O72/I72</f>
        <v>6.1999999999999986E-2</v>
      </c>
      <c r="Q72" s="1">
        <f>+I72*1.16</f>
        <v>191840.8</v>
      </c>
      <c r="R72" s="1">
        <f>+Q72*E72</f>
        <v>251311447.99999997</v>
      </c>
    </row>
    <row r="73" spans="4:18" ht="15" customHeight="1">
      <c r="D73" s="153" t="s">
        <v>146</v>
      </c>
      <c r="E73" s="184">
        <f t="shared" si="129"/>
        <v>1600</v>
      </c>
      <c r="F73" s="184">
        <f t="shared" si="130"/>
        <v>281013696</v>
      </c>
      <c r="G73" s="184">
        <f>+F73/E73</f>
        <v>175633.56</v>
      </c>
      <c r="H73" s="3"/>
      <c r="I73" s="3">
        <v>165380</v>
      </c>
      <c r="J73" s="182">
        <f>+G73-I73</f>
        <v>10253.559999999998</v>
      </c>
      <c r="K73" s="10">
        <f>+J73/I73</f>
        <v>6.1999999999999986E-2</v>
      </c>
      <c r="L73" s="3">
        <f t="shared" si="132"/>
        <v>175633.56</v>
      </c>
      <c r="M73" s="3">
        <f t="shared" ref="M73:M77" si="133">+E73*L73</f>
        <v>281013696</v>
      </c>
      <c r="O73" s="3">
        <f t="shared" ref="O73:O77" si="134">+G73-I73</f>
        <v>10253.559999999998</v>
      </c>
      <c r="P73" s="131">
        <f t="shared" ref="P73:P77" si="135">+O73/I73</f>
        <v>6.1999999999999986E-2</v>
      </c>
      <c r="Q73" s="1">
        <f t="shared" ref="Q73:Q77" si="136">+I73*1.16</f>
        <v>191840.8</v>
      </c>
      <c r="R73" s="1">
        <f t="shared" ref="R73:R77" si="137">+Q73*E73</f>
        <v>306945280</v>
      </c>
    </row>
    <row r="74" spans="4:18" ht="15" customHeight="1">
      <c r="D74" s="153" t="s">
        <v>140</v>
      </c>
      <c r="E74" s="184">
        <f t="shared" si="129"/>
        <v>630</v>
      </c>
      <c r="F74" s="184">
        <f t="shared" si="130"/>
        <v>140502600</v>
      </c>
      <c r="G74" s="184">
        <f>+F74/E74</f>
        <v>223020</v>
      </c>
      <c r="H74" s="3">
        <f>+I74*1.1</f>
        <v>231000.00000000003</v>
      </c>
      <c r="I74" s="3">
        <v>210000</v>
      </c>
      <c r="J74" s="182">
        <f>+G74-I74</f>
        <v>13020</v>
      </c>
      <c r="K74" s="10">
        <f>+J74/I74</f>
        <v>6.2E-2</v>
      </c>
      <c r="L74" s="3">
        <f t="shared" si="132"/>
        <v>223020</v>
      </c>
      <c r="M74" s="3">
        <f>+E74*L74</f>
        <v>140502600</v>
      </c>
      <c r="O74" s="3"/>
      <c r="P74" s="131"/>
    </row>
    <row r="75" spans="4:18" ht="15" customHeight="1">
      <c r="D75" s="153" t="str">
        <f t="shared" ref="D75:D86" si="138">+D17</f>
        <v>COLEGIOS</v>
      </c>
      <c r="E75" s="141">
        <f t="shared" si="129"/>
        <v>0</v>
      </c>
      <c r="F75" s="154">
        <f t="shared" si="130"/>
        <v>0</v>
      </c>
      <c r="G75" s="155" t="e">
        <f t="shared" si="131"/>
        <v>#DIV/0!</v>
      </c>
      <c r="H75" s="3"/>
      <c r="I75" s="3">
        <v>175380</v>
      </c>
      <c r="J75" s="182" t="e">
        <f t="shared" ref="J75:J77" si="139">+G75-I75</f>
        <v>#DIV/0!</v>
      </c>
      <c r="K75" s="10" t="e">
        <f t="shared" ref="K75:K77" si="140">+J75/I75</f>
        <v>#DIV/0!</v>
      </c>
      <c r="L75" s="3">
        <f t="shared" si="132"/>
        <v>186253.56</v>
      </c>
      <c r="M75" s="3">
        <f t="shared" si="133"/>
        <v>0</v>
      </c>
      <c r="O75" s="3" t="e">
        <f t="shared" si="134"/>
        <v>#DIV/0!</v>
      </c>
      <c r="P75" s="131" t="e">
        <f t="shared" si="135"/>
        <v>#DIV/0!</v>
      </c>
      <c r="Q75" s="1">
        <f t="shared" si="136"/>
        <v>203440.8</v>
      </c>
      <c r="R75" s="1">
        <f t="shared" si="137"/>
        <v>0</v>
      </c>
    </row>
    <row r="76" spans="4:18" ht="15" customHeight="1">
      <c r="D76" s="153" t="str">
        <f t="shared" si="138"/>
        <v>PROGRAMACIÓN ABIERTA Y REGIÓN</v>
      </c>
      <c r="E76" s="141">
        <f t="shared" si="129"/>
        <v>1142</v>
      </c>
      <c r="F76" s="154">
        <f t="shared" si="130"/>
        <v>200573525.52000001</v>
      </c>
      <c r="G76" s="155">
        <f t="shared" si="131"/>
        <v>175633.56</v>
      </c>
      <c r="H76" s="3"/>
      <c r="I76" s="3">
        <v>165380</v>
      </c>
      <c r="J76" s="182">
        <f t="shared" si="139"/>
        <v>10253.559999999998</v>
      </c>
      <c r="K76" s="10">
        <f t="shared" si="140"/>
        <v>6.1999999999999986E-2</v>
      </c>
      <c r="L76" s="3">
        <f t="shared" si="132"/>
        <v>175633.56</v>
      </c>
      <c r="M76" s="3">
        <f t="shared" si="133"/>
        <v>200573525.52000001</v>
      </c>
      <c r="O76" s="3">
        <f t="shared" si="134"/>
        <v>10253.559999999998</v>
      </c>
      <c r="P76" s="131">
        <f t="shared" si="135"/>
        <v>6.1999999999999986E-2</v>
      </c>
      <c r="Q76" s="1">
        <f t="shared" si="136"/>
        <v>191840.8</v>
      </c>
      <c r="R76" s="1">
        <f t="shared" si="137"/>
        <v>219082193.59999999</v>
      </c>
    </row>
    <row r="77" spans="4:18" ht="15" customHeight="1">
      <c r="D77" s="153" t="str">
        <f t="shared" si="138"/>
        <v>INTERNACIONALIZACIÓN</v>
      </c>
      <c r="E77" s="141">
        <f t="shared" si="129"/>
        <v>2332</v>
      </c>
      <c r="F77" s="154">
        <f t="shared" si="130"/>
        <v>434343301.92000002</v>
      </c>
      <c r="G77" s="155">
        <f t="shared" si="131"/>
        <v>186253.56</v>
      </c>
      <c r="H77" s="3">
        <f>+I77*1.1</f>
        <v>192918.00000000003</v>
      </c>
      <c r="I77" s="3">
        <v>175380</v>
      </c>
      <c r="J77" s="182">
        <f t="shared" si="139"/>
        <v>10873.559999999998</v>
      </c>
      <c r="K77" s="10">
        <f t="shared" si="140"/>
        <v>6.1999999999999986E-2</v>
      </c>
      <c r="L77" s="3">
        <f t="shared" si="132"/>
        <v>186253.56</v>
      </c>
      <c r="M77" s="3">
        <f t="shared" si="133"/>
        <v>434343301.92000002</v>
      </c>
      <c r="O77" s="3">
        <f t="shared" si="134"/>
        <v>10873.559999999998</v>
      </c>
      <c r="P77" s="131">
        <f t="shared" si="135"/>
        <v>6.1999999999999986E-2</v>
      </c>
      <c r="Q77" s="1">
        <f t="shared" si="136"/>
        <v>203440.8</v>
      </c>
      <c r="R77" s="1">
        <f t="shared" si="137"/>
        <v>474423945.59999996</v>
      </c>
    </row>
    <row r="78" spans="4:18" ht="27" customHeight="1">
      <c r="D78" s="153" t="str">
        <f t="shared" si="138"/>
        <v>INTERNACIONALIZACION - Entregable -  Preseleccion de mercado</v>
      </c>
      <c r="E78" s="141">
        <f>+E20</f>
        <v>245</v>
      </c>
      <c r="F78" s="154">
        <f t="shared" si="130"/>
        <v>49000000</v>
      </c>
      <c r="G78" s="155">
        <f>+F78/E78</f>
        <v>200000</v>
      </c>
      <c r="H78" s="3"/>
      <c r="I78" s="3">
        <f>+AN20</f>
        <v>209083.63571428569</v>
      </c>
      <c r="L78" s="3">
        <f>+I78</f>
        <v>209083.63571428569</v>
      </c>
      <c r="M78" s="53">
        <f>+F78</f>
        <v>49000000</v>
      </c>
      <c r="R78" s="53">
        <f>+M78</f>
        <v>49000000</v>
      </c>
    </row>
    <row r="79" spans="4:18" ht="27.75" customHeight="1">
      <c r="D79" s="153" t="str">
        <f t="shared" si="138"/>
        <v>INTERNACIONALIZACION - Entregable -  MarketFit</v>
      </c>
      <c r="E79" s="141">
        <f>+E78</f>
        <v>245</v>
      </c>
      <c r="F79" s="154">
        <f t="shared" si="130"/>
        <v>98000000</v>
      </c>
      <c r="G79" s="155">
        <f t="shared" si="131"/>
        <v>400000</v>
      </c>
      <c r="H79" s="3"/>
      <c r="I79" s="3">
        <f>+AN21</f>
        <v>418168.63734693872</v>
      </c>
      <c r="L79" s="3">
        <f>+I79</f>
        <v>418168.63734693872</v>
      </c>
      <c r="M79" s="53">
        <f>+F79</f>
        <v>98000000</v>
      </c>
      <c r="R79" s="53">
        <f>+M79</f>
        <v>98000000</v>
      </c>
    </row>
    <row r="80" spans="4:18" ht="30.75" customHeight="1">
      <c r="D80" s="153" t="str">
        <f t="shared" si="138"/>
        <v>INTERNACIONALIZACION - Entregable -  One Pager</v>
      </c>
      <c r="E80" s="141">
        <f>+E79</f>
        <v>245</v>
      </c>
      <c r="F80" s="154">
        <f t="shared" si="130"/>
        <v>49000000</v>
      </c>
      <c r="G80" s="155">
        <f t="shared" si="131"/>
        <v>200000</v>
      </c>
      <c r="H80" s="3"/>
      <c r="I80" s="3">
        <f>+AN22</f>
        <v>209083.63571428569</v>
      </c>
      <c r="L80" s="3">
        <f>+I80</f>
        <v>209083.63571428569</v>
      </c>
      <c r="M80" s="53">
        <f>+F80</f>
        <v>49000000</v>
      </c>
      <c r="R80" s="53">
        <f>+M80</f>
        <v>49000000</v>
      </c>
    </row>
    <row r="81" spans="3:19" ht="15" customHeight="1">
      <c r="D81" s="153" t="str">
        <f t="shared" si="138"/>
        <v>CICLOS FOCALIZADOS - ALIMENTOS</v>
      </c>
      <c r="E81" s="141">
        <f t="shared" ref="E81:E86" si="141">+K23</f>
        <v>1972</v>
      </c>
      <c r="F81" s="154">
        <f t="shared" si="130"/>
        <v>346349380.31999999</v>
      </c>
      <c r="G81" s="155">
        <f t="shared" si="131"/>
        <v>175633.56</v>
      </c>
      <c r="H81" s="3"/>
      <c r="I81" s="3">
        <v>165380</v>
      </c>
      <c r="J81" s="182">
        <f t="shared" ref="J81:J85" si="142">+G81-I81</f>
        <v>10253.559999999998</v>
      </c>
      <c r="K81" s="10">
        <f t="shared" ref="K81:K86" si="143">+J81/I81</f>
        <v>6.1999999999999986E-2</v>
      </c>
      <c r="L81" s="3">
        <f>+I81*1.062</f>
        <v>175633.56</v>
      </c>
      <c r="M81" s="3">
        <f t="shared" ref="M81:M86" si="144">+E81*L81</f>
        <v>346349380.31999999</v>
      </c>
      <c r="O81" s="3">
        <f t="shared" ref="O81:O86" si="145">+G81-I81</f>
        <v>10253.559999999998</v>
      </c>
      <c r="P81" s="131">
        <f t="shared" ref="P81:P86" si="146">+O81/I81</f>
        <v>6.1999999999999986E-2</v>
      </c>
      <c r="Q81" s="1">
        <f t="shared" ref="Q81:Q86" si="147">+I81*1.16</f>
        <v>191840.8</v>
      </c>
      <c r="R81" s="1">
        <f t="shared" ref="R81:R86" si="148">+Q81*E81</f>
        <v>378310057.59999996</v>
      </c>
    </row>
    <row r="82" spans="3:19" ht="22.5">
      <c r="D82" s="153" t="str">
        <f t="shared" si="138"/>
        <v>CICLOS FOCALIZADOS - ESTRATEGIA FINANCIERA PARA EL SECTOR MODA E ICC</v>
      </c>
      <c r="E82" s="141">
        <f t="shared" si="141"/>
        <v>846</v>
      </c>
      <c r="F82" s="154">
        <f t="shared" si="130"/>
        <v>148585991.75999999</v>
      </c>
      <c r="G82" s="155">
        <f t="shared" si="131"/>
        <v>175633.56</v>
      </c>
      <c r="H82" s="3"/>
      <c r="I82" s="3">
        <v>165380</v>
      </c>
      <c r="J82" s="182">
        <f t="shared" si="142"/>
        <v>10253.559999999998</v>
      </c>
      <c r="K82" s="10">
        <f t="shared" si="143"/>
        <v>6.1999999999999986E-2</v>
      </c>
      <c r="L82" s="3">
        <f>+I82*1.062</f>
        <v>175633.56</v>
      </c>
      <c r="M82" s="3">
        <f t="shared" si="144"/>
        <v>148585991.75999999</v>
      </c>
      <c r="O82" s="3">
        <f t="shared" si="145"/>
        <v>10253.559999999998</v>
      </c>
      <c r="P82" s="131">
        <f t="shared" si="146"/>
        <v>6.1999999999999986E-2</v>
      </c>
      <c r="Q82" s="1">
        <f t="shared" si="147"/>
        <v>191840.8</v>
      </c>
      <c r="R82" s="1">
        <f t="shared" si="148"/>
        <v>162297316.79999998</v>
      </c>
    </row>
    <row r="83" spans="3:19" ht="33.75">
      <c r="D83" s="153" t="str">
        <f t="shared" si="138"/>
        <v>CICLOS FOCALIZADOS - FORTALECIMIENTO DE EQUIPOS DE VENTA PARA EL SECTOR MODA</v>
      </c>
      <c r="E83" s="141">
        <f t="shared" si="141"/>
        <v>644</v>
      </c>
      <c r="F83" s="154">
        <f t="shared" si="130"/>
        <v>113108012.64</v>
      </c>
      <c r="G83" s="155">
        <f t="shared" si="131"/>
        <v>175633.56</v>
      </c>
      <c r="H83" s="3"/>
      <c r="I83" s="3">
        <v>165380</v>
      </c>
      <c r="J83" s="182">
        <f t="shared" si="142"/>
        <v>10253.559999999998</v>
      </c>
      <c r="K83" s="10">
        <f t="shared" si="143"/>
        <v>6.1999999999999986E-2</v>
      </c>
      <c r="L83" s="3">
        <f>+I83*1.062</f>
        <v>175633.56</v>
      </c>
      <c r="M83" s="3">
        <f t="shared" si="144"/>
        <v>113108012.64</v>
      </c>
      <c r="O83" s="3">
        <f t="shared" si="145"/>
        <v>10253.559999999998</v>
      </c>
      <c r="P83" s="131">
        <f t="shared" si="146"/>
        <v>6.1999999999999986E-2</v>
      </c>
      <c r="Q83" s="1">
        <f t="shared" si="147"/>
        <v>191840.8</v>
      </c>
      <c r="R83" s="1">
        <f t="shared" si="148"/>
        <v>123545475.19999999</v>
      </c>
    </row>
    <row r="84" spans="3:19" ht="15" customHeight="1">
      <c r="D84" s="153" t="str">
        <f t="shared" si="138"/>
        <v>CICLOS FOCALIZADOS - MULTISECTORIAL</v>
      </c>
      <c r="E84" s="141">
        <f t="shared" si="141"/>
        <v>4143</v>
      </c>
      <c r="F84" s="154">
        <f t="shared" si="130"/>
        <v>727649839.08000004</v>
      </c>
      <c r="G84" s="155">
        <f t="shared" si="131"/>
        <v>175633.56</v>
      </c>
      <c r="H84" s="3"/>
      <c r="I84" s="3">
        <v>165380</v>
      </c>
      <c r="J84" s="182">
        <f t="shared" si="142"/>
        <v>10253.559999999998</v>
      </c>
      <c r="K84" s="10">
        <f t="shared" si="143"/>
        <v>6.1999999999999986E-2</v>
      </c>
      <c r="L84" s="3">
        <f>+I84*1.062</f>
        <v>175633.56</v>
      </c>
      <c r="M84" s="3">
        <f t="shared" si="144"/>
        <v>727649839.08000004</v>
      </c>
      <c r="O84" s="3">
        <f t="shared" si="145"/>
        <v>10253.559999999998</v>
      </c>
      <c r="P84" s="131">
        <f t="shared" si="146"/>
        <v>6.1999999999999986E-2</v>
      </c>
      <c r="Q84" s="1">
        <f t="shared" si="147"/>
        <v>191840.8</v>
      </c>
      <c r="R84" s="1">
        <f t="shared" si="148"/>
        <v>794796434.39999998</v>
      </c>
    </row>
    <row r="85" spans="3:19" ht="15.75" customHeight="1">
      <c r="D85" s="153" t="str">
        <f t="shared" si="138"/>
        <v>CICLOS FINANCIERO Y PRODUCTIVIDAD</v>
      </c>
      <c r="E85" s="141">
        <f t="shared" si="141"/>
        <v>182</v>
      </c>
      <c r="F85" s="154">
        <f t="shared" si="130"/>
        <v>31965307.919999998</v>
      </c>
      <c r="G85" s="155">
        <f t="shared" si="131"/>
        <v>175633.56</v>
      </c>
      <c r="H85" s="3"/>
      <c r="I85" s="3">
        <v>165380</v>
      </c>
      <c r="J85" s="182">
        <f t="shared" si="142"/>
        <v>10253.559999999998</v>
      </c>
      <c r="K85" s="10">
        <f t="shared" si="143"/>
        <v>6.1999999999999986E-2</v>
      </c>
      <c r="L85" s="3">
        <f>+I85*1.062</f>
        <v>175633.56</v>
      </c>
      <c r="M85" s="3">
        <f t="shared" si="144"/>
        <v>31965307.919999998</v>
      </c>
      <c r="O85" s="3">
        <f t="shared" si="145"/>
        <v>10253.559999999998</v>
      </c>
      <c r="P85" s="131">
        <f t="shared" si="146"/>
        <v>6.1999999999999986E-2</v>
      </c>
      <c r="Q85" s="1">
        <f t="shared" si="147"/>
        <v>191840.8</v>
      </c>
      <c r="R85" s="1">
        <f t="shared" si="148"/>
        <v>34915025.600000001</v>
      </c>
    </row>
    <row r="86" spans="3:19" ht="33.75">
      <c r="D86" s="153" t="str">
        <f t="shared" si="138"/>
        <v>MENTORÍA, VOLUNTARIADO Y PROGRAMACIÓN REGIÓN (FORO PRESIDENTES)</v>
      </c>
      <c r="E86" s="141">
        <f t="shared" si="141"/>
        <v>0</v>
      </c>
      <c r="F86" s="154">
        <f t="shared" si="130"/>
        <v>0</v>
      </c>
      <c r="G86" s="155">
        <v>0</v>
      </c>
      <c r="H86" s="3"/>
      <c r="I86" s="3">
        <v>165380</v>
      </c>
      <c r="J86" s="182">
        <f>+G86-I86</f>
        <v>-165380</v>
      </c>
      <c r="K86" s="10">
        <f t="shared" si="143"/>
        <v>-1</v>
      </c>
      <c r="L86" s="3">
        <f t="shared" ref="L86" si="149">+I86*1.0677</f>
        <v>176576.22600000002</v>
      </c>
      <c r="M86" s="3">
        <f t="shared" si="144"/>
        <v>0</v>
      </c>
      <c r="O86" s="3">
        <f t="shared" si="145"/>
        <v>-165380</v>
      </c>
      <c r="P86" s="131">
        <f t="shared" si="146"/>
        <v>-1</v>
      </c>
      <c r="Q86" s="1">
        <f t="shared" si="147"/>
        <v>191840.8</v>
      </c>
      <c r="R86" s="1">
        <f t="shared" si="148"/>
        <v>0</v>
      </c>
    </row>
    <row r="87" spans="3:19">
      <c r="D87" s="156" t="s">
        <v>95</v>
      </c>
      <c r="E87" s="150">
        <f>SUM(E72:E86)-735</f>
        <v>14801</v>
      </c>
      <c r="F87" s="150">
        <f>SUM(F72:F86)</f>
        <v>2850171618.7600002</v>
      </c>
      <c r="G87" s="3"/>
      <c r="H87" s="3"/>
      <c r="I87" s="52"/>
      <c r="M87" s="183">
        <f>SUM(M72:M86)</f>
        <v>2850171618.7600002</v>
      </c>
      <c r="O87" s="3"/>
      <c r="R87" s="183">
        <f>SUM(R72:R86)</f>
        <v>2941627176.7999997</v>
      </c>
      <c r="S87" s="3"/>
    </row>
    <row r="88" spans="3:19">
      <c r="E88" s="3">
        <f>+E72+E73+E74+E75+E76+E77+E81+E82+E83+E84+E85+E86</f>
        <v>14801</v>
      </c>
      <c r="F88" s="10"/>
      <c r="G88" s="3"/>
      <c r="H88" s="3"/>
      <c r="I88" s="52"/>
      <c r="M88" s="3">
        <f>+M87-F87</f>
        <v>0</v>
      </c>
      <c r="O88" s="5"/>
    </row>
    <row r="89" spans="3:19">
      <c r="H89" s="3"/>
      <c r="I89" s="52"/>
      <c r="M89" s="3"/>
    </row>
    <row r="90" spans="3:19">
      <c r="H90" s="3"/>
      <c r="I90" s="52"/>
      <c r="M90" s="3"/>
    </row>
    <row r="91" spans="3:19" ht="12">
      <c r="C91" s="596" t="s">
        <v>96</v>
      </c>
      <c r="D91" s="596"/>
      <c r="E91" s="596"/>
      <c r="F91" s="158" t="s">
        <v>97</v>
      </c>
      <c r="J91" s="157"/>
      <c r="K91" s="131"/>
    </row>
    <row r="92" spans="3:19" ht="12">
      <c r="C92" s="159" t="s">
        <v>98</v>
      </c>
      <c r="D92" s="160"/>
      <c r="E92" s="160"/>
      <c r="F92" s="161"/>
      <c r="J92" s="157"/>
      <c r="K92" s="131"/>
      <c r="M92" s="3"/>
    </row>
    <row r="93" spans="3:19" ht="12">
      <c r="C93" s="159" t="s">
        <v>99</v>
      </c>
      <c r="D93" s="160"/>
      <c r="E93" s="160"/>
      <c r="F93" s="162"/>
    </row>
    <row r="94" spans="3:19" ht="12">
      <c r="C94" s="159" t="s">
        <v>100</v>
      </c>
      <c r="D94" s="160"/>
      <c r="E94" s="160"/>
      <c r="F94" s="162"/>
    </row>
    <row r="95" spans="3:19" ht="12">
      <c r="C95" s="159" t="s">
        <v>101</v>
      </c>
      <c r="D95" s="163"/>
      <c r="E95" s="163"/>
      <c r="F95" s="162"/>
    </row>
    <row r="96" spans="3:19" ht="12">
      <c r="C96" s="159" t="s">
        <v>102</v>
      </c>
      <c r="D96" s="163"/>
      <c r="E96" s="163"/>
      <c r="F96" s="162"/>
    </row>
    <row r="97" spans="3:17" ht="12">
      <c r="C97" s="159" t="s">
        <v>103</v>
      </c>
      <c r="D97" s="163"/>
      <c r="E97" s="163"/>
      <c r="F97" s="162">
        <f>+E62</f>
        <v>2850171618.6500001</v>
      </c>
    </row>
    <row r="98" spans="3:17" ht="12">
      <c r="C98" s="159" t="s">
        <v>104</v>
      </c>
      <c r="D98" s="163"/>
      <c r="E98" s="163"/>
      <c r="F98" s="162"/>
    </row>
    <row r="99" spans="3:17" ht="12">
      <c r="C99" s="159" t="s">
        <v>105</v>
      </c>
      <c r="D99" s="163"/>
      <c r="E99" s="163"/>
      <c r="F99" s="162"/>
    </row>
    <row r="100" spans="3:17" ht="12">
      <c r="C100" s="597" t="s">
        <v>106</v>
      </c>
      <c r="D100" s="598"/>
      <c r="E100" s="598"/>
      <c r="F100" s="164">
        <f>SUM(F92:F99)</f>
        <v>2850171618.6500001</v>
      </c>
    </row>
    <row r="101" spans="3:17" ht="12">
      <c r="C101" s="591" t="s">
        <v>107</v>
      </c>
      <c r="D101" s="592"/>
      <c r="E101" s="592"/>
      <c r="F101" s="162"/>
    </row>
    <row r="102" spans="3:17" ht="12">
      <c r="C102" s="591" t="s">
        <v>108</v>
      </c>
      <c r="D102" s="592"/>
      <c r="E102" s="592"/>
      <c r="F102" s="162"/>
      <c r="O102" s="3"/>
    </row>
    <row r="103" spans="3:17" ht="12">
      <c r="C103" s="591" t="s">
        <v>109</v>
      </c>
      <c r="D103" s="592"/>
      <c r="E103" s="592"/>
      <c r="F103" s="165"/>
      <c r="O103" s="3"/>
      <c r="Q103" s="3"/>
    </row>
    <row r="104" spans="3:17" ht="12">
      <c r="C104" s="591" t="s">
        <v>110</v>
      </c>
      <c r="D104" s="592"/>
      <c r="E104" s="592"/>
      <c r="F104" s="165">
        <f>+F63+Q55+W55</f>
        <v>1895348045.29778</v>
      </c>
      <c r="O104" s="3"/>
    </row>
    <row r="105" spans="3:17" ht="12">
      <c r="C105" s="591" t="s">
        <v>111</v>
      </c>
      <c r="D105" s="592"/>
      <c r="E105" s="592"/>
      <c r="F105" s="162"/>
      <c r="O105" s="3"/>
    </row>
    <row r="106" spans="3:17" ht="12">
      <c r="C106" s="591" t="s">
        <v>112</v>
      </c>
      <c r="D106" s="592"/>
      <c r="E106" s="592"/>
      <c r="F106" s="162"/>
      <c r="Q106" s="3"/>
    </row>
    <row r="107" spans="3:17" ht="12">
      <c r="C107" s="591" t="s">
        <v>113</v>
      </c>
      <c r="D107" s="592"/>
      <c r="E107" s="592"/>
      <c r="F107" s="162"/>
    </row>
    <row r="108" spans="3:17" ht="12">
      <c r="C108" s="591" t="s">
        <v>114</v>
      </c>
      <c r="D108" s="592"/>
      <c r="E108" s="592"/>
      <c r="F108" s="162"/>
    </row>
    <row r="109" spans="3:17" ht="12">
      <c r="C109" s="591" t="s">
        <v>115</v>
      </c>
      <c r="D109" s="592"/>
      <c r="E109" s="592"/>
      <c r="F109" s="162"/>
    </row>
    <row r="110" spans="3:17" ht="12">
      <c r="C110" s="591" t="s">
        <v>116</v>
      </c>
      <c r="D110" s="592"/>
      <c r="E110" s="592"/>
      <c r="F110" s="165"/>
    </row>
    <row r="111" spans="3:17" ht="12">
      <c r="C111" s="591" t="s">
        <v>117</v>
      </c>
      <c r="D111" s="592"/>
      <c r="E111" s="592"/>
      <c r="F111" s="162"/>
    </row>
    <row r="112" spans="3:17" ht="12">
      <c r="C112" s="591" t="s">
        <v>118</v>
      </c>
      <c r="D112" s="592"/>
      <c r="E112" s="592"/>
      <c r="F112" s="165"/>
    </row>
    <row r="113" spans="3:6" ht="12">
      <c r="C113" s="591" t="s">
        <v>119</v>
      </c>
      <c r="D113" s="592"/>
      <c r="E113" s="592"/>
      <c r="F113" s="162"/>
    </row>
    <row r="114" spans="3:6" ht="12">
      <c r="C114" s="597" t="s">
        <v>120</v>
      </c>
      <c r="D114" s="598"/>
      <c r="E114" s="598"/>
      <c r="F114" s="164">
        <f>SUM(F101:F113)</f>
        <v>1895348045.29778</v>
      </c>
    </row>
    <row r="115" spans="3:6" ht="12">
      <c r="C115" s="591" t="s">
        <v>121</v>
      </c>
      <c r="D115" s="592"/>
      <c r="E115" s="592"/>
      <c r="F115" s="165">
        <f>+T55</f>
        <v>311857440</v>
      </c>
    </row>
    <row r="116" spans="3:6" ht="12">
      <c r="C116" s="591" t="s">
        <v>122</v>
      </c>
      <c r="D116" s="592"/>
      <c r="E116" s="592"/>
      <c r="F116" s="162"/>
    </row>
    <row r="117" spans="3:6" ht="12">
      <c r="C117" s="591" t="s">
        <v>123</v>
      </c>
      <c r="D117" s="592"/>
      <c r="E117" s="592"/>
      <c r="F117" s="162"/>
    </row>
    <row r="118" spans="3:6" ht="12">
      <c r="C118" s="591" t="s">
        <v>124</v>
      </c>
      <c r="D118" s="592"/>
      <c r="E118" s="592"/>
      <c r="F118" s="162"/>
    </row>
    <row r="119" spans="3:6" ht="12">
      <c r="C119" s="591" t="s">
        <v>125</v>
      </c>
      <c r="D119" s="592"/>
      <c r="E119" s="592"/>
      <c r="F119" s="162"/>
    </row>
    <row r="120" spans="3:6" ht="12">
      <c r="C120" s="591" t="s">
        <v>126</v>
      </c>
      <c r="D120" s="592"/>
      <c r="E120" s="592"/>
      <c r="F120" s="165">
        <f>+X73</f>
        <v>0</v>
      </c>
    </row>
    <row r="121" spans="3:6" ht="12">
      <c r="C121" s="591" t="s">
        <v>127</v>
      </c>
      <c r="D121" s="592"/>
      <c r="E121" s="592"/>
      <c r="F121" s="162"/>
    </row>
    <row r="122" spans="3:6" ht="12">
      <c r="C122" s="591" t="s">
        <v>128</v>
      </c>
      <c r="D122" s="592"/>
      <c r="E122" s="592"/>
      <c r="F122" s="162"/>
    </row>
    <row r="123" spans="3:6" ht="12">
      <c r="C123" s="591" t="s">
        <v>129</v>
      </c>
      <c r="D123" s="592"/>
      <c r="E123" s="592"/>
      <c r="F123" s="162"/>
    </row>
    <row r="124" spans="3:6" ht="12">
      <c r="C124" s="591" t="s">
        <v>130</v>
      </c>
      <c r="D124" s="592"/>
      <c r="E124" s="592"/>
      <c r="F124" s="162"/>
    </row>
    <row r="125" spans="3:6" ht="12">
      <c r="C125" s="591" t="s">
        <v>131</v>
      </c>
      <c r="D125" s="592"/>
      <c r="E125" s="592"/>
      <c r="F125" s="165">
        <f>+U55+V55</f>
        <v>33134853</v>
      </c>
    </row>
    <row r="126" spans="3:6" ht="12">
      <c r="C126" s="597" t="s">
        <v>132</v>
      </c>
      <c r="D126" s="598"/>
      <c r="E126" s="598"/>
      <c r="F126" s="164">
        <f>SUM(F115:F125)</f>
        <v>344992293</v>
      </c>
    </row>
    <row r="127" spans="3:6" ht="12">
      <c r="C127" s="159"/>
      <c r="D127" s="160"/>
      <c r="E127" s="160"/>
      <c r="F127" s="166"/>
    </row>
    <row r="128" spans="3:6" ht="12">
      <c r="C128" s="597" t="s">
        <v>133</v>
      </c>
      <c r="D128" s="598"/>
      <c r="E128" s="598"/>
      <c r="F128" s="164">
        <f>+F100-F114-F126</f>
        <v>609831280.35222006</v>
      </c>
    </row>
    <row r="129" spans="3:6" ht="12">
      <c r="C129" s="167"/>
      <c r="D129" s="160"/>
      <c r="E129" s="160"/>
      <c r="F129" s="168"/>
    </row>
    <row r="130" spans="3:6" ht="12">
      <c r="C130" s="169" t="s">
        <v>134</v>
      </c>
      <c r="D130" s="160"/>
      <c r="E130" s="160"/>
      <c r="F130" s="162"/>
    </row>
    <row r="131" spans="3:6" ht="12">
      <c r="C131" s="167"/>
      <c r="D131" s="160"/>
      <c r="E131" s="160"/>
      <c r="F131" s="161"/>
    </row>
    <row r="132" spans="3:6" ht="12">
      <c r="C132" s="597" t="s">
        <v>135</v>
      </c>
      <c r="D132" s="598"/>
      <c r="E132" s="598"/>
      <c r="F132" s="164">
        <f>+F128</f>
        <v>609831280.35222006</v>
      </c>
    </row>
    <row r="133" spans="3:6" ht="12">
      <c r="C133" s="167"/>
      <c r="D133" s="160"/>
      <c r="E133" s="160"/>
      <c r="F133" s="168"/>
    </row>
    <row r="134" spans="3:6" ht="12">
      <c r="C134" s="169" t="s">
        <v>136</v>
      </c>
      <c r="D134" s="160"/>
      <c r="E134" s="160"/>
      <c r="F134" s="162"/>
    </row>
    <row r="135" spans="3:6" ht="12">
      <c r="C135" s="167"/>
      <c r="D135" s="160"/>
      <c r="E135" s="160"/>
      <c r="F135" s="161"/>
    </row>
    <row r="136" spans="3:6" ht="12">
      <c r="C136" s="597" t="s">
        <v>137</v>
      </c>
      <c r="D136" s="598"/>
      <c r="E136" s="598"/>
      <c r="F136" s="164">
        <f>+F132</f>
        <v>609831280.35222006</v>
      </c>
    </row>
    <row r="137" spans="3:6" ht="12">
      <c r="C137" s="161" t="s">
        <v>138</v>
      </c>
      <c r="D137" s="160"/>
      <c r="E137" s="160"/>
      <c r="F137" s="170">
        <f>+F136/F100</f>
        <v>0.21396300361768042</v>
      </c>
    </row>
    <row r="138" spans="3:6" ht="12">
      <c r="C138" s="171"/>
      <c r="D138" s="171"/>
      <c r="E138" s="171"/>
      <c r="F138" s="171"/>
    </row>
  </sheetData>
  <mergeCells count="54">
    <mergeCell ref="M8:M9"/>
    <mergeCell ref="N8:R8"/>
    <mergeCell ref="T8:Y8"/>
    <mergeCell ref="Z8:AB8"/>
    <mergeCell ref="AC8:AF8"/>
    <mergeCell ref="AI9:AI10"/>
    <mergeCell ref="A12:A53"/>
    <mergeCell ref="B12:B53"/>
    <mergeCell ref="D12:F12"/>
    <mergeCell ref="C33:C43"/>
    <mergeCell ref="D33:H33"/>
    <mergeCell ref="C45:C53"/>
    <mergeCell ref="D45:G45"/>
    <mergeCell ref="AG8:AG10"/>
    <mergeCell ref="AH8:AH10"/>
    <mergeCell ref="AA9:AB9"/>
    <mergeCell ref="AC9:AC10"/>
    <mergeCell ref="AD9:AD10"/>
    <mergeCell ref="AE9:AE10"/>
    <mergeCell ref="AF9:AF10"/>
    <mergeCell ref="E8:L8"/>
    <mergeCell ref="C108:E108"/>
    <mergeCell ref="B61:D61"/>
    <mergeCell ref="B62:C62"/>
    <mergeCell ref="C91:E91"/>
    <mergeCell ref="C100:E100"/>
    <mergeCell ref="C101:E101"/>
    <mergeCell ref="C102:E102"/>
    <mergeCell ref="C103:E103"/>
    <mergeCell ref="C104:E104"/>
    <mergeCell ref="C105:E105"/>
    <mergeCell ref="C106:E106"/>
    <mergeCell ref="C107:E107"/>
    <mergeCell ref="C120:E120"/>
    <mergeCell ref="C109:E109"/>
    <mergeCell ref="C110:E110"/>
    <mergeCell ref="C111:E111"/>
    <mergeCell ref="C112:E112"/>
    <mergeCell ref="C114:E114"/>
    <mergeCell ref="C115:E115"/>
    <mergeCell ref="C116:E116"/>
    <mergeCell ref="C117:E117"/>
    <mergeCell ref="C118:E118"/>
    <mergeCell ref="C119:E119"/>
    <mergeCell ref="C113:E113"/>
    <mergeCell ref="C128:E128"/>
    <mergeCell ref="C132:E132"/>
    <mergeCell ref="C136:E136"/>
    <mergeCell ref="C121:E121"/>
    <mergeCell ref="C122:E122"/>
    <mergeCell ref="C123:E123"/>
    <mergeCell ref="C124:E124"/>
    <mergeCell ref="C125:E125"/>
    <mergeCell ref="C126:E12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AE9E39-F9EB-4EE1-8F3A-456AAA7770FF}">
  <dimension ref="A1:H19"/>
  <sheetViews>
    <sheetView zoomScale="118" zoomScaleNormal="118" workbookViewId="0">
      <selection activeCell="A2" sqref="A2"/>
    </sheetView>
  </sheetViews>
  <sheetFormatPr defaultColWidth="11.42578125" defaultRowHeight="11.25"/>
  <cols>
    <col min="1" max="1" width="30.85546875" style="200" customWidth="1"/>
    <col min="2" max="2" width="15.5703125" style="200" bestFit="1" customWidth="1"/>
    <col min="3" max="3" width="12.7109375" style="200" bestFit="1" customWidth="1"/>
    <col min="4" max="4" width="10.5703125" style="200" bestFit="1" customWidth="1"/>
    <col min="5" max="5" width="11.5703125" style="200" bestFit="1" customWidth="1"/>
    <col min="6" max="6" width="12.7109375" style="200" bestFit="1" customWidth="1"/>
    <col min="7" max="7" width="10.85546875" style="200" bestFit="1" customWidth="1"/>
    <col min="8" max="16384" width="11.42578125" style="200"/>
  </cols>
  <sheetData>
    <row r="1" spans="1:8">
      <c r="A1" s="198" t="s">
        <v>145</v>
      </c>
      <c r="B1" s="599" t="s">
        <v>147</v>
      </c>
      <c r="C1" s="600"/>
      <c r="D1" s="601"/>
      <c r="E1" s="602" t="s">
        <v>148</v>
      </c>
      <c r="F1" s="603"/>
      <c r="G1" s="199"/>
    </row>
    <row r="2" spans="1:8">
      <c r="A2" s="186" t="s">
        <v>91</v>
      </c>
      <c r="B2" s="187" t="s">
        <v>92</v>
      </c>
      <c r="C2" s="188" t="s">
        <v>93</v>
      </c>
      <c r="D2" s="189" t="s">
        <v>94</v>
      </c>
      <c r="E2" s="190" t="s">
        <v>92</v>
      </c>
      <c r="F2" s="190" t="s">
        <v>93</v>
      </c>
      <c r="G2" s="201" t="s">
        <v>149</v>
      </c>
    </row>
    <row r="3" spans="1:8">
      <c r="A3" s="191" t="str">
        <f>+'propuesta ajustada'!D72</f>
        <v>ECONOMÍA POPULAR</v>
      </c>
      <c r="B3" s="192">
        <f>+'propuesta ajustada'!E72</f>
        <v>1310</v>
      </c>
      <c r="C3" s="193">
        <f>+'propuesta ajustada'!F72</f>
        <v>230079963.59999999</v>
      </c>
      <c r="D3" s="194">
        <f t="shared" ref="D3" si="0">+C3/B3</f>
        <v>175633.56</v>
      </c>
      <c r="E3" s="195">
        <v>1310</v>
      </c>
      <c r="F3" s="193">
        <v>231314856</v>
      </c>
      <c r="G3" s="202">
        <f>+B3-E3</f>
        <v>0</v>
      </c>
    </row>
    <row r="4" spans="1:8">
      <c r="A4" s="191" t="str">
        <f>+'propuesta ajustada'!D73</f>
        <v xml:space="preserve">EMPRENDIMIENTO </v>
      </c>
      <c r="B4" s="192">
        <f>+'propuesta ajustada'!E73</f>
        <v>1600</v>
      </c>
      <c r="C4" s="193">
        <f>+'propuesta ajustada'!F73</f>
        <v>281013696</v>
      </c>
      <c r="D4" s="194">
        <f t="shared" ref="D4:D17" si="1">+C4/B4</f>
        <v>175633.56</v>
      </c>
      <c r="E4" s="195">
        <v>1600</v>
      </c>
      <c r="F4" s="193">
        <v>282521962</v>
      </c>
      <c r="G4" s="202">
        <f t="shared" ref="G4:G17" si="2">+B4-E4</f>
        <v>0</v>
      </c>
    </row>
    <row r="5" spans="1:8">
      <c r="A5" s="191" t="str">
        <f>+'propuesta ajustada'!D74</f>
        <v>INNOVACION</v>
      </c>
      <c r="B5" s="192">
        <f>+'propuesta ajustada'!E74</f>
        <v>630</v>
      </c>
      <c r="C5" s="193">
        <f>+'propuesta ajustada'!F74</f>
        <v>140502600</v>
      </c>
      <c r="D5" s="194">
        <f t="shared" si="1"/>
        <v>223020</v>
      </c>
      <c r="E5" s="195">
        <v>630</v>
      </c>
      <c r="F5" s="193">
        <v>141256710</v>
      </c>
      <c r="G5" s="202">
        <f t="shared" si="2"/>
        <v>0</v>
      </c>
      <c r="H5" s="200">
        <f>+F5/E5</f>
        <v>224217</v>
      </c>
    </row>
    <row r="6" spans="1:8">
      <c r="A6" s="191" t="str">
        <f>+'propuesta ajustada'!D75</f>
        <v>COLEGIOS</v>
      </c>
      <c r="B6" s="192">
        <f>+'propuesta ajustada'!E75</f>
        <v>0</v>
      </c>
      <c r="C6" s="193">
        <f>+'propuesta ajustada'!F75</f>
        <v>0</v>
      </c>
      <c r="D6" s="194" t="e">
        <f t="shared" si="1"/>
        <v>#DIV/0!</v>
      </c>
      <c r="E6" s="195">
        <v>426</v>
      </c>
      <c r="F6" s="193">
        <v>79769874</v>
      </c>
      <c r="G6" s="202">
        <f t="shared" si="2"/>
        <v>-426</v>
      </c>
    </row>
    <row r="7" spans="1:8">
      <c r="A7" s="191" t="str">
        <f>+'propuesta ajustada'!D76</f>
        <v>PROGRAMACIÓN ABIERTA Y REGIÓN</v>
      </c>
      <c r="B7" s="192">
        <f>+'propuesta ajustada'!E76</f>
        <v>1142</v>
      </c>
      <c r="C7" s="193">
        <f>+'propuesta ajustada'!F76</f>
        <v>200573525.52000001</v>
      </c>
      <c r="D7" s="194">
        <f t="shared" si="1"/>
        <v>175633.56</v>
      </c>
      <c r="E7" s="195">
        <v>1142</v>
      </c>
      <c r="F7" s="193">
        <v>201650050</v>
      </c>
      <c r="G7" s="202">
        <f t="shared" si="2"/>
        <v>0</v>
      </c>
    </row>
    <row r="8" spans="1:8">
      <c r="A8" s="191" t="str">
        <f>+'propuesta ajustada'!D77</f>
        <v>INTERNACIONALIZACIÓN</v>
      </c>
      <c r="B8" s="192">
        <f>+'propuesta ajustada'!E77</f>
        <v>2332</v>
      </c>
      <c r="C8" s="193">
        <f>+'propuesta ajustada'!F77</f>
        <v>434343301.92000002</v>
      </c>
      <c r="D8" s="194">
        <f t="shared" si="1"/>
        <v>186253.56</v>
      </c>
      <c r="E8" s="195">
        <v>1497</v>
      </c>
      <c r="F8" s="193">
        <v>280318079</v>
      </c>
      <c r="G8" s="202">
        <f t="shared" si="2"/>
        <v>835</v>
      </c>
    </row>
    <row r="9" spans="1:8" ht="22.5">
      <c r="A9" s="191" t="str">
        <f>+'propuesta ajustada'!D78</f>
        <v>INTERNACIONALIZACION - Entregable -  Preseleccion de mercado</v>
      </c>
      <c r="B9" s="192">
        <f>+'propuesta ajustada'!E78</f>
        <v>245</v>
      </c>
      <c r="C9" s="193">
        <f>+'propuesta ajustada'!F78</f>
        <v>49000000</v>
      </c>
      <c r="D9" s="194">
        <f t="shared" si="1"/>
        <v>200000</v>
      </c>
      <c r="E9" s="195">
        <v>245</v>
      </c>
      <c r="F9" s="193">
        <v>49000000</v>
      </c>
      <c r="G9" s="202">
        <f t="shared" si="2"/>
        <v>0</v>
      </c>
    </row>
    <row r="10" spans="1:8" ht="22.5">
      <c r="A10" s="191" t="str">
        <f>+'propuesta ajustada'!D79</f>
        <v>INTERNACIONALIZACION - Entregable -  MarketFit</v>
      </c>
      <c r="B10" s="192">
        <f>+'propuesta ajustada'!E79</f>
        <v>245</v>
      </c>
      <c r="C10" s="193">
        <f>+'propuesta ajustada'!F79</f>
        <v>98000000</v>
      </c>
      <c r="D10" s="194">
        <f t="shared" si="1"/>
        <v>400000</v>
      </c>
      <c r="E10" s="195">
        <v>245</v>
      </c>
      <c r="F10" s="193">
        <v>98000000</v>
      </c>
      <c r="G10" s="202">
        <f t="shared" si="2"/>
        <v>0</v>
      </c>
    </row>
    <row r="11" spans="1:8" ht="22.5">
      <c r="A11" s="191" t="str">
        <f>+'propuesta ajustada'!D80</f>
        <v>INTERNACIONALIZACION - Entregable -  One Pager</v>
      </c>
      <c r="B11" s="192">
        <f>+'propuesta ajustada'!E80</f>
        <v>245</v>
      </c>
      <c r="C11" s="193">
        <f>+'propuesta ajustada'!F80</f>
        <v>49000000</v>
      </c>
      <c r="D11" s="194">
        <f t="shared" si="1"/>
        <v>200000</v>
      </c>
      <c r="E11" s="195">
        <v>245</v>
      </c>
      <c r="F11" s="193">
        <v>49000000</v>
      </c>
      <c r="G11" s="202">
        <f t="shared" si="2"/>
        <v>0</v>
      </c>
    </row>
    <row r="12" spans="1:8">
      <c r="A12" s="191" t="str">
        <f>+'propuesta ajustada'!D81</f>
        <v>CICLOS FOCALIZADOS - ALIMENTOS</v>
      </c>
      <c r="B12" s="192">
        <f>+'propuesta ajustada'!E81</f>
        <v>1972</v>
      </c>
      <c r="C12" s="193">
        <f>+'propuesta ajustada'!F81</f>
        <v>346349380.31999999</v>
      </c>
      <c r="D12" s="194">
        <f t="shared" si="1"/>
        <v>175633.56</v>
      </c>
      <c r="E12" s="195">
        <v>1970</v>
      </c>
      <c r="F12" s="193">
        <v>347855165</v>
      </c>
      <c r="G12" s="202">
        <f t="shared" si="2"/>
        <v>2</v>
      </c>
    </row>
    <row r="13" spans="1:8" ht="22.5">
      <c r="A13" s="191" t="str">
        <f>+'propuesta ajustada'!D82</f>
        <v>CICLOS FOCALIZADOS - ESTRATEGIA FINANCIERA PARA EL SECTOR MODA E ICC</v>
      </c>
      <c r="B13" s="192">
        <f>+'propuesta ajustada'!E82</f>
        <v>846</v>
      </c>
      <c r="C13" s="193">
        <f>+'propuesta ajustada'!F82</f>
        <v>148585991.75999999</v>
      </c>
      <c r="D13" s="194">
        <f t="shared" si="1"/>
        <v>175633.56</v>
      </c>
      <c r="E13" s="195">
        <v>846</v>
      </c>
      <c r="F13" s="193">
        <v>149383487</v>
      </c>
      <c r="G13" s="202">
        <f t="shared" si="2"/>
        <v>0</v>
      </c>
    </row>
    <row r="14" spans="1:8" ht="22.5">
      <c r="A14" s="191" t="str">
        <f>+'propuesta ajustada'!D83</f>
        <v>CICLOS FOCALIZADOS - FORTALECIMIENTO DE EQUIPOS DE VENTA PARA EL SECTOR MODA</v>
      </c>
      <c r="B14" s="192">
        <f>+'propuesta ajustada'!E83</f>
        <v>644</v>
      </c>
      <c r="C14" s="193">
        <f>+'propuesta ajustada'!F83</f>
        <v>113108012.64</v>
      </c>
      <c r="D14" s="194">
        <f t="shared" si="1"/>
        <v>175633.56</v>
      </c>
      <c r="E14" s="195">
        <v>644</v>
      </c>
      <c r="F14" s="193">
        <v>113715090</v>
      </c>
      <c r="G14" s="202">
        <f t="shared" si="2"/>
        <v>0</v>
      </c>
    </row>
    <row r="15" spans="1:8">
      <c r="A15" s="191" t="str">
        <f>+'propuesta ajustada'!D84</f>
        <v>CICLOS FOCALIZADOS - MULTISECTORIAL</v>
      </c>
      <c r="B15" s="192">
        <f>+'propuesta ajustada'!E84</f>
        <v>4143</v>
      </c>
      <c r="C15" s="193">
        <f>+'propuesta ajustada'!F84</f>
        <v>727649839.08000004</v>
      </c>
      <c r="D15" s="194">
        <f t="shared" si="1"/>
        <v>175633.56</v>
      </c>
      <c r="E15" s="195">
        <v>4538</v>
      </c>
      <c r="F15" s="193">
        <v>801302914</v>
      </c>
      <c r="G15" s="202">
        <f t="shared" si="2"/>
        <v>-395</v>
      </c>
    </row>
    <row r="16" spans="1:8">
      <c r="A16" s="191" t="str">
        <f>+'propuesta ajustada'!D85</f>
        <v>CICLOS FINANCIERO Y PRODUCTIVIDAD</v>
      </c>
      <c r="B16" s="192">
        <f>+'propuesta ajustada'!E85</f>
        <v>182</v>
      </c>
      <c r="C16" s="193">
        <f>+'propuesta ajustada'!F85</f>
        <v>31965307.919999998</v>
      </c>
      <c r="D16" s="194">
        <f t="shared" si="1"/>
        <v>175633.56</v>
      </c>
      <c r="E16" s="195">
        <v>364</v>
      </c>
      <c r="F16" s="193">
        <v>64273746</v>
      </c>
      <c r="G16" s="202">
        <f t="shared" si="2"/>
        <v>-182</v>
      </c>
    </row>
    <row r="17" spans="1:7" ht="33.75">
      <c r="A17" s="191" t="str">
        <f>+'propuesta ajustada'!D86</f>
        <v>MENTORÍA, VOLUNTARIADO Y PROGRAMACIÓN REGIÓN (FORO PRESIDENTES)</v>
      </c>
      <c r="B17" s="192">
        <f>+'propuesta ajustada'!E86</f>
        <v>0</v>
      </c>
      <c r="C17" s="193">
        <f>+'propuesta ajustada'!F86</f>
        <v>0</v>
      </c>
      <c r="D17" s="194" t="e">
        <f t="shared" si="1"/>
        <v>#DIV/0!</v>
      </c>
      <c r="E17" s="195">
        <v>160</v>
      </c>
      <c r="F17" s="193">
        <v>28252196</v>
      </c>
      <c r="G17" s="202">
        <f t="shared" si="2"/>
        <v>-160</v>
      </c>
    </row>
    <row r="18" spans="1:7">
      <c r="A18" s="196" t="s">
        <v>95</v>
      </c>
      <c r="B18" s="187">
        <f>SUM(B3:B17)</f>
        <v>15536</v>
      </c>
      <c r="C18" s="187">
        <f>SUM(C3:C17)</f>
        <v>2850171618.7600002</v>
      </c>
      <c r="D18" s="197"/>
      <c r="E18" s="190">
        <f>SUM(E3:E17)</f>
        <v>15862</v>
      </c>
      <c r="F18" s="190">
        <f>SUM(F3:F17)</f>
        <v>2917614129</v>
      </c>
      <c r="G18" s="199"/>
    </row>
    <row r="19" spans="1:7">
      <c r="B19" s="204">
        <f>+B18-B11-B10-B9</f>
        <v>14801</v>
      </c>
      <c r="E19" s="204">
        <f>+E18-E9-E10-E11</f>
        <v>15127</v>
      </c>
    </row>
  </sheetData>
  <mergeCells count="2">
    <mergeCell ref="B1:D1"/>
    <mergeCell ref="E1:F1"/>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A4226F-0F58-404F-8EDA-D6DB94114482}">
  <dimension ref="A1:O35"/>
  <sheetViews>
    <sheetView zoomScale="142" zoomScaleNormal="142" workbookViewId="0">
      <selection activeCell="E8" sqref="E8"/>
    </sheetView>
  </sheetViews>
  <sheetFormatPr defaultColWidth="9.140625" defaultRowHeight="15" customHeight="1"/>
  <cols>
    <col min="1" max="1" width="6.5703125" style="207" bestFit="1" customWidth="1"/>
    <col min="2" max="2" width="17.42578125" style="207" customWidth="1"/>
    <col min="3" max="3" width="26.5703125" style="207" customWidth="1"/>
    <col min="4" max="4" width="14.42578125" style="207" customWidth="1"/>
    <col min="5" max="5" width="19.42578125" style="239" customWidth="1"/>
    <col min="6" max="6" width="31" style="207" customWidth="1"/>
    <col min="7" max="7" width="17" style="207" customWidth="1"/>
    <col min="8" max="9" width="17.42578125" style="207" customWidth="1"/>
    <col min="10" max="10" width="9.42578125" style="207" bestFit="1" customWidth="1"/>
    <col min="11" max="11" width="9.7109375" style="207" bestFit="1" customWidth="1"/>
    <col min="12" max="12" width="22.7109375" style="207" customWidth="1"/>
    <col min="13" max="13" width="31.28515625" style="207" customWidth="1"/>
    <col min="14" max="14" width="13.140625" style="207" customWidth="1"/>
    <col min="15" max="15" width="85.28515625" style="207" customWidth="1"/>
    <col min="16" max="16" width="19" style="207" customWidth="1"/>
    <col min="17" max="17" width="9.140625" style="207" customWidth="1"/>
    <col min="18" max="16384" width="9.140625" style="207"/>
  </cols>
  <sheetData>
    <row r="1" spans="1:15" s="211" customFormat="1" ht="51" customHeight="1">
      <c r="A1" s="250" t="s">
        <v>150</v>
      </c>
      <c r="B1" s="250" t="s">
        <v>91</v>
      </c>
      <c r="C1" s="250" t="s">
        <v>150</v>
      </c>
      <c r="D1" s="251" t="s">
        <v>92</v>
      </c>
      <c r="E1" s="252" t="s">
        <v>151</v>
      </c>
      <c r="F1" s="253" t="s">
        <v>152</v>
      </c>
      <c r="G1" s="254" t="s">
        <v>153</v>
      </c>
      <c r="H1" s="254" t="s">
        <v>154</v>
      </c>
      <c r="I1" s="254" t="s">
        <v>155</v>
      </c>
      <c r="J1" s="254" t="s">
        <v>156</v>
      </c>
      <c r="K1" s="254" t="s">
        <v>93</v>
      </c>
      <c r="L1" s="254" t="s">
        <v>157</v>
      </c>
      <c r="M1" s="254" t="s">
        <v>158</v>
      </c>
      <c r="N1" s="254" t="s">
        <v>159</v>
      </c>
      <c r="O1" s="254" t="s">
        <v>160</v>
      </c>
    </row>
    <row r="2" spans="1:15" ht="29.25">
      <c r="A2" s="606">
        <v>1</v>
      </c>
      <c r="B2" s="604" t="s">
        <v>161</v>
      </c>
      <c r="C2" s="606" t="s">
        <v>162</v>
      </c>
      <c r="D2" s="645">
        <v>1310</v>
      </c>
      <c r="E2" s="681" t="s">
        <v>162</v>
      </c>
      <c r="F2" s="246" t="s">
        <v>163</v>
      </c>
      <c r="G2" s="690">
        <f>D2</f>
        <v>1310</v>
      </c>
      <c r="H2" s="626">
        <v>10</v>
      </c>
      <c r="I2" s="643">
        <f>G2/H2</f>
        <v>131</v>
      </c>
      <c r="J2" s="648">
        <v>175634</v>
      </c>
      <c r="K2" s="647">
        <f>J2*D2</f>
        <v>230080540</v>
      </c>
      <c r="L2" s="208" t="s">
        <v>164</v>
      </c>
      <c r="M2" s="230" t="s">
        <v>165</v>
      </c>
      <c r="N2" s="208">
        <v>3052512922</v>
      </c>
      <c r="O2" s="206"/>
    </row>
    <row r="3" spans="1:15" ht="24.95" customHeight="1">
      <c r="A3" s="607"/>
      <c r="B3" s="605"/>
      <c r="C3" s="607"/>
      <c r="D3" s="646"/>
      <c r="E3" s="682"/>
      <c r="F3" s="247" t="s">
        <v>166</v>
      </c>
      <c r="G3" s="673"/>
      <c r="H3" s="626"/>
      <c r="I3" s="643"/>
      <c r="J3" s="649"/>
      <c r="K3" s="647"/>
      <c r="L3" s="208" t="s">
        <v>167</v>
      </c>
      <c r="M3" s="212" t="s">
        <v>168</v>
      </c>
      <c r="N3" s="208">
        <v>3042685388</v>
      </c>
      <c r="O3" s="206"/>
    </row>
    <row r="4" spans="1:15" ht="24.95" customHeight="1">
      <c r="A4" s="606">
        <v>2</v>
      </c>
      <c r="B4" s="604" t="s">
        <v>169</v>
      </c>
      <c r="C4" s="604" t="s">
        <v>140</v>
      </c>
      <c r="D4" s="645">
        <v>460</v>
      </c>
      <c r="E4" s="650" t="s">
        <v>170</v>
      </c>
      <c r="F4" s="623" t="s">
        <v>171</v>
      </c>
      <c r="G4" s="689">
        <v>460</v>
      </c>
      <c r="H4" s="626">
        <v>5</v>
      </c>
      <c r="I4" s="606">
        <f>G4/H4</f>
        <v>92</v>
      </c>
      <c r="J4" s="648">
        <v>223020</v>
      </c>
      <c r="K4" s="647">
        <f>J4*D4</f>
        <v>102589200</v>
      </c>
      <c r="L4" s="208" t="s">
        <v>172</v>
      </c>
      <c r="M4" s="212" t="s">
        <v>173</v>
      </c>
      <c r="N4" s="208">
        <v>3118131235</v>
      </c>
      <c r="O4" s="606" t="s">
        <v>174</v>
      </c>
    </row>
    <row r="5" spans="1:15" ht="24.95" customHeight="1">
      <c r="A5" s="607"/>
      <c r="B5" s="635"/>
      <c r="C5" s="605"/>
      <c r="D5" s="646"/>
      <c r="E5" s="653"/>
      <c r="F5" s="654"/>
      <c r="G5" s="673"/>
      <c r="H5" s="626"/>
      <c r="I5" s="607"/>
      <c r="J5" s="649"/>
      <c r="K5" s="647"/>
      <c r="L5" s="208" t="s">
        <v>175</v>
      </c>
      <c r="M5" s="212"/>
      <c r="N5" s="208"/>
      <c r="O5" s="607"/>
    </row>
    <row r="6" spans="1:15" ht="78" customHeight="1">
      <c r="A6" s="606">
        <v>3</v>
      </c>
      <c r="B6" s="635"/>
      <c r="C6" s="604" t="s">
        <v>146</v>
      </c>
      <c r="D6" s="645">
        <v>1600</v>
      </c>
      <c r="E6" s="650" t="s">
        <v>176</v>
      </c>
      <c r="F6" s="623" t="s">
        <v>177</v>
      </c>
      <c r="G6" s="689">
        <v>1600</v>
      </c>
      <c r="H6" s="626">
        <v>10</v>
      </c>
      <c r="I6" s="606">
        <f>G6/H6</f>
        <v>160</v>
      </c>
      <c r="J6" s="648">
        <v>175634</v>
      </c>
      <c r="K6" s="647">
        <f>J6*D6</f>
        <v>281014400</v>
      </c>
      <c r="L6" s="208" t="s">
        <v>172</v>
      </c>
      <c r="M6" s="212" t="s">
        <v>173</v>
      </c>
      <c r="N6" s="208">
        <v>3118131235</v>
      </c>
      <c r="O6" s="604" t="s">
        <v>178</v>
      </c>
    </row>
    <row r="7" spans="1:15" ht="24.95" customHeight="1">
      <c r="A7" s="608"/>
      <c r="B7" s="641"/>
      <c r="C7" s="635"/>
      <c r="D7" s="652"/>
      <c r="E7" s="651"/>
      <c r="F7" s="624"/>
      <c r="G7" s="672"/>
      <c r="H7" s="626"/>
      <c r="I7" s="607"/>
      <c r="J7" s="649"/>
      <c r="K7" s="647"/>
      <c r="L7" s="208" t="s">
        <v>179</v>
      </c>
      <c r="M7" s="212"/>
      <c r="N7" s="208"/>
      <c r="O7" s="605"/>
    </row>
    <row r="8" spans="1:15" ht="70.5" customHeight="1">
      <c r="A8" s="644">
        <v>4</v>
      </c>
      <c r="B8" s="638" t="s">
        <v>180</v>
      </c>
      <c r="C8" s="280" t="s">
        <v>181</v>
      </c>
      <c r="D8" s="240">
        <v>818</v>
      </c>
      <c r="E8" s="243" t="s">
        <v>182</v>
      </c>
      <c r="F8" s="248" t="s">
        <v>183</v>
      </c>
      <c r="G8" s="221">
        <v>818</v>
      </c>
      <c r="H8" s="221">
        <v>10</v>
      </c>
      <c r="I8" s="206">
        <f>G8/H8</f>
        <v>81.8</v>
      </c>
      <c r="J8" s="236">
        <v>175634</v>
      </c>
      <c r="K8" s="234">
        <f>J8*D8</f>
        <v>143668612</v>
      </c>
      <c r="L8" s="208" t="s">
        <v>184</v>
      </c>
      <c r="M8" s="213" t="s">
        <v>185</v>
      </c>
      <c r="N8" s="214">
        <v>3012748031</v>
      </c>
      <c r="O8" s="206" t="s">
        <v>186</v>
      </c>
    </row>
    <row r="9" spans="1:15" ht="48" customHeight="1">
      <c r="A9" s="644"/>
      <c r="B9" s="639"/>
      <c r="C9" s="280" t="s">
        <v>187</v>
      </c>
      <c r="D9" s="240">
        <v>765</v>
      </c>
      <c r="E9" s="243" t="s">
        <v>188</v>
      </c>
      <c r="F9" s="248" t="s">
        <v>189</v>
      </c>
      <c r="G9" s="221">
        <v>765</v>
      </c>
      <c r="H9" s="221">
        <v>9</v>
      </c>
      <c r="I9" s="206">
        <f>G9/H9</f>
        <v>85</v>
      </c>
      <c r="J9" s="236">
        <v>175634</v>
      </c>
      <c r="K9" s="234">
        <f>J9*D9</f>
        <v>134360010</v>
      </c>
      <c r="L9" s="208" t="s">
        <v>184</v>
      </c>
      <c r="M9" s="213" t="s">
        <v>185</v>
      </c>
      <c r="N9" s="214">
        <v>3012748031</v>
      </c>
      <c r="O9" s="206" t="s">
        <v>190</v>
      </c>
    </row>
    <row r="10" spans="1:15" ht="24.95" customHeight="1">
      <c r="A10" s="608">
        <v>5</v>
      </c>
      <c r="B10" s="639"/>
      <c r="C10" s="633" t="s">
        <v>58</v>
      </c>
      <c r="D10" s="652">
        <v>1142</v>
      </c>
      <c r="E10" s="651" t="s">
        <v>191</v>
      </c>
      <c r="F10" s="623" t="s">
        <v>192</v>
      </c>
      <c r="G10" s="672">
        <v>1142</v>
      </c>
      <c r="H10" s="626">
        <v>10</v>
      </c>
      <c r="I10" s="606">
        <f>G10/H10</f>
        <v>114.2</v>
      </c>
      <c r="J10" s="648">
        <v>175634</v>
      </c>
      <c r="K10" s="647">
        <f>J10*D10</f>
        <v>200574028</v>
      </c>
      <c r="L10" s="208" t="s">
        <v>164</v>
      </c>
      <c r="M10" s="230" t="s">
        <v>165</v>
      </c>
      <c r="N10" s="208"/>
      <c r="O10" s="206"/>
    </row>
    <row r="11" spans="1:15" ht="24.95" customHeight="1">
      <c r="A11" s="607"/>
      <c r="B11" s="639"/>
      <c r="C11" s="634"/>
      <c r="D11" s="652"/>
      <c r="E11" s="653"/>
      <c r="F11" s="624"/>
      <c r="G11" s="673"/>
      <c r="H11" s="626"/>
      <c r="I11" s="607"/>
      <c r="J11" s="649"/>
      <c r="K11" s="647"/>
      <c r="L11" s="208" t="s">
        <v>167</v>
      </c>
      <c r="M11" s="212" t="s">
        <v>168</v>
      </c>
      <c r="N11" s="208">
        <v>3042685388</v>
      </c>
      <c r="O11" s="206"/>
    </row>
    <row r="12" spans="1:15" ht="81" customHeight="1">
      <c r="A12" s="643">
        <v>6</v>
      </c>
      <c r="B12" s="639"/>
      <c r="C12" s="637" t="s">
        <v>66</v>
      </c>
      <c r="D12" s="676">
        <v>4300</v>
      </c>
      <c r="E12" s="242" t="s">
        <v>193</v>
      </c>
      <c r="F12" s="248" t="s">
        <v>194</v>
      </c>
      <c r="G12" s="224">
        <f>200+40</f>
        <v>240</v>
      </c>
      <c r="H12" s="256">
        <v>3</v>
      </c>
      <c r="I12" s="259">
        <f t="shared" ref="I12:I20" si="0">G12/H12</f>
        <v>80</v>
      </c>
      <c r="J12" s="660">
        <v>175634</v>
      </c>
      <c r="K12" s="647">
        <f>J12*D12</f>
        <v>755226200</v>
      </c>
      <c r="L12" s="606" t="s">
        <v>195</v>
      </c>
      <c r="M12" s="606" t="s">
        <v>196</v>
      </c>
      <c r="N12" s="689">
        <v>3102944799</v>
      </c>
      <c r="O12" s="206" t="s">
        <v>197</v>
      </c>
    </row>
    <row r="13" spans="1:15" ht="74.25" customHeight="1">
      <c r="A13" s="643"/>
      <c r="B13" s="639"/>
      <c r="C13" s="637"/>
      <c r="D13" s="676"/>
      <c r="E13" s="244" t="s">
        <v>198</v>
      </c>
      <c r="F13" s="248" t="s">
        <v>199</v>
      </c>
      <c r="G13" s="225">
        <f>480+60</f>
        <v>540</v>
      </c>
      <c r="H13" s="256">
        <v>5</v>
      </c>
      <c r="I13" s="259">
        <f t="shared" si="0"/>
        <v>108</v>
      </c>
      <c r="J13" s="660"/>
      <c r="K13" s="647"/>
      <c r="L13" s="608"/>
      <c r="M13" s="608"/>
      <c r="N13" s="672"/>
      <c r="O13" s="206" t="s">
        <v>200</v>
      </c>
    </row>
    <row r="14" spans="1:15" ht="77.25" customHeight="1">
      <c r="A14" s="643"/>
      <c r="B14" s="639"/>
      <c r="C14" s="637"/>
      <c r="D14" s="676"/>
      <c r="E14" s="244" t="s">
        <v>201</v>
      </c>
      <c r="F14" s="248" t="s">
        <v>202</v>
      </c>
      <c r="G14" s="225">
        <f>762+84</f>
        <v>846</v>
      </c>
      <c r="H14" s="256">
        <v>6</v>
      </c>
      <c r="I14" s="259">
        <f t="shared" si="0"/>
        <v>141</v>
      </c>
      <c r="J14" s="660"/>
      <c r="K14" s="647"/>
      <c r="L14" s="608"/>
      <c r="M14" s="608"/>
      <c r="N14" s="672"/>
      <c r="O14" s="206" t="s">
        <v>203</v>
      </c>
    </row>
    <row r="15" spans="1:15" ht="96" customHeight="1">
      <c r="A15" s="643"/>
      <c r="B15" s="639"/>
      <c r="C15" s="637"/>
      <c r="D15" s="676"/>
      <c r="E15" s="244" t="s">
        <v>204</v>
      </c>
      <c r="F15" s="248" t="s">
        <v>205</v>
      </c>
      <c r="G15" s="225">
        <v>128</v>
      </c>
      <c r="H15" s="256">
        <v>3</v>
      </c>
      <c r="I15" s="260">
        <f t="shared" si="0"/>
        <v>42.666666666666664</v>
      </c>
      <c r="J15" s="660"/>
      <c r="K15" s="647"/>
      <c r="L15" s="608"/>
      <c r="M15" s="608"/>
      <c r="N15" s="672"/>
      <c r="O15" s="206" t="s">
        <v>206</v>
      </c>
    </row>
    <row r="16" spans="1:15" ht="69" customHeight="1">
      <c r="A16" s="643"/>
      <c r="B16" s="639"/>
      <c r="C16" s="637"/>
      <c r="D16" s="676"/>
      <c r="E16" s="244" t="s">
        <v>207</v>
      </c>
      <c r="F16" s="248" t="s">
        <v>208</v>
      </c>
      <c r="G16" s="225">
        <f>480+30</f>
        <v>510</v>
      </c>
      <c r="H16" s="256">
        <v>5</v>
      </c>
      <c r="I16" s="259">
        <f t="shared" si="0"/>
        <v>102</v>
      </c>
      <c r="J16" s="660"/>
      <c r="K16" s="647"/>
      <c r="L16" s="607"/>
      <c r="M16" s="607"/>
      <c r="N16" s="673"/>
      <c r="O16" s="206"/>
    </row>
    <row r="17" spans="1:15" ht="92.25" customHeight="1">
      <c r="A17" s="643"/>
      <c r="B17" s="639"/>
      <c r="C17" s="637"/>
      <c r="D17" s="676"/>
      <c r="E17" s="244" t="s">
        <v>209</v>
      </c>
      <c r="F17" s="248" t="s">
        <v>210</v>
      </c>
      <c r="G17" s="225">
        <f>782+72</f>
        <v>854</v>
      </c>
      <c r="H17" s="256">
        <v>8</v>
      </c>
      <c r="I17" s="260">
        <f t="shared" si="0"/>
        <v>106.75</v>
      </c>
      <c r="J17" s="660"/>
      <c r="K17" s="647"/>
      <c r="L17" s="643" t="s">
        <v>211</v>
      </c>
      <c r="M17" s="643" t="s">
        <v>212</v>
      </c>
      <c r="N17" s="691">
        <v>3137257344</v>
      </c>
      <c r="O17" s="206" t="s">
        <v>213</v>
      </c>
    </row>
    <row r="18" spans="1:15" ht="81" customHeight="1">
      <c r="A18" s="606"/>
      <c r="B18" s="639"/>
      <c r="C18" s="616"/>
      <c r="D18" s="676"/>
      <c r="E18" s="244" t="s">
        <v>214</v>
      </c>
      <c r="F18" s="248" t="s">
        <v>215</v>
      </c>
      <c r="G18" s="235">
        <f>1182</f>
        <v>1182</v>
      </c>
      <c r="H18" s="256">
        <v>20</v>
      </c>
      <c r="I18" s="259">
        <f t="shared" si="0"/>
        <v>59.1</v>
      </c>
      <c r="J18" s="660"/>
      <c r="K18" s="647"/>
      <c r="L18" s="643"/>
      <c r="M18" s="643"/>
      <c r="N18" s="691"/>
      <c r="O18" s="206" t="s">
        <v>216</v>
      </c>
    </row>
    <row r="19" spans="1:15" ht="59.25" customHeight="1">
      <c r="A19" s="642">
        <v>7</v>
      </c>
      <c r="B19" s="639"/>
      <c r="C19" s="636" t="s">
        <v>217</v>
      </c>
      <c r="D19" s="677">
        <v>1908</v>
      </c>
      <c r="E19" s="244" t="s">
        <v>218</v>
      </c>
      <c r="F19" s="249" t="s">
        <v>219</v>
      </c>
      <c r="G19" s="215">
        <v>1044</v>
      </c>
      <c r="H19" s="237">
        <v>13</v>
      </c>
      <c r="I19" s="261">
        <f t="shared" si="0"/>
        <v>80.307692307692307</v>
      </c>
      <c r="J19" s="663">
        <v>175634</v>
      </c>
      <c r="K19" s="661">
        <f>J19*D19</f>
        <v>335109672</v>
      </c>
      <c r="L19" s="686" t="s">
        <v>184</v>
      </c>
      <c r="M19" s="686" t="s">
        <v>185</v>
      </c>
      <c r="N19" s="692">
        <v>3012748031</v>
      </c>
      <c r="O19" s="206" t="s">
        <v>220</v>
      </c>
    </row>
    <row r="20" spans="1:15" ht="45.75" customHeight="1">
      <c r="A20" s="642"/>
      <c r="B20" s="639"/>
      <c r="C20" s="636"/>
      <c r="D20" s="677"/>
      <c r="E20" s="244" t="s">
        <v>221</v>
      </c>
      <c r="F20" s="249" t="s">
        <v>222</v>
      </c>
      <c r="G20" s="674">
        <v>192</v>
      </c>
      <c r="H20" s="679">
        <v>2</v>
      </c>
      <c r="I20" s="666">
        <f t="shared" si="0"/>
        <v>96</v>
      </c>
      <c r="J20" s="664"/>
      <c r="K20" s="661"/>
      <c r="L20" s="687"/>
      <c r="M20" s="687"/>
      <c r="N20" s="693"/>
      <c r="O20" s="206" t="s">
        <v>223</v>
      </c>
    </row>
    <row r="21" spans="1:15" ht="54.75" customHeight="1">
      <c r="A21" s="642"/>
      <c r="B21" s="639"/>
      <c r="C21" s="636"/>
      <c r="D21" s="677"/>
      <c r="E21" s="244" t="s">
        <v>224</v>
      </c>
      <c r="F21" s="249" t="s">
        <v>225</v>
      </c>
      <c r="G21" s="675"/>
      <c r="H21" s="680"/>
      <c r="I21" s="667"/>
      <c r="J21" s="664"/>
      <c r="K21" s="661"/>
      <c r="L21" s="687"/>
      <c r="M21" s="687"/>
      <c r="N21" s="693"/>
      <c r="O21" s="206" t="s">
        <v>226</v>
      </c>
    </row>
    <row r="22" spans="1:15" ht="101.25" customHeight="1">
      <c r="A22" s="642"/>
      <c r="B22" s="639"/>
      <c r="C22" s="636"/>
      <c r="D22" s="677"/>
      <c r="E22" s="244" t="s">
        <v>227</v>
      </c>
      <c r="F22" s="249" t="s">
        <v>228</v>
      </c>
      <c r="G22" s="215">
        <v>336</v>
      </c>
      <c r="H22" s="219">
        <v>3</v>
      </c>
      <c r="I22" s="262">
        <f>G22/H22</f>
        <v>112</v>
      </c>
      <c r="J22" s="664"/>
      <c r="K22" s="661"/>
      <c r="L22" s="687"/>
      <c r="M22" s="687"/>
      <c r="N22" s="693"/>
      <c r="O22" s="206" t="s">
        <v>229</v>
      </c>
    </row>
    <row r="23" spans="1:15" ht="65.25" customHeight="1">
      <c r="A23" s="642"/>
      <c r="B23" s="639"/>
      <c r="C23" s="636"/>
      <c r="D23" s="678"/>
      <c r="E23" s="244" t="s">
        <v>230</v>
      </c>
      <c r="F23" s="249" t="s">
        <v>231</v>
      </c>
      <c r="G23" s="215">
        <v>336</v>
      </c>
      <c r="H23" s="220">
        <v>3</v>
      </c>
      <c r="I23" s="262">
        <f>G23/H23</f>
        <v>112</v>
      </c>
      <c r="J23" s="665"/>
      <c r="K23" s="662"/>
      <c r="L23" s="688"/>
      <c r="M23" s="688"/>
      <c r="N23" s="694"/>
      <c r="O23" s="206" t="s">
        <v>232</v>
      </c>
    </row>
    <row r="24" spans="1:15" ht="24.95" customHeight="1">
      <c r="A24" s="608">
        <v>8</v>
      </c>
      <c r="B24" s="639"/>
      <c r="C24" s="617" t="s">
        <v>233</v>
      </c>
      <c r="D24" s="645">
        <v>364</v>
      </c>
      <c r="E24" s="245" t="s">
        <v>234</v>
      </c>
      <c r="F24" s="623" t="s">
        <v>235</v>
      </c>
      <c r="G24" s="669">
        <v>364</v>
      </c>
      <c r="H24" s="226">
        <v>2</v>
      </c>
      <c r="I24" s="263">
        <v>60.6666666666667</v>
      </c>
      <c r="J24" s="648">
        <v>175634</v>
      </c>
      <c r="K24" s="657">
        <f>J24*D24</f>
        <v>63930776</v>
      </c>
      <c r="L24" s="208" t="s">
        <v>172</v>
      </c>
      <c r="M24" s="212" t="s">
        <v>173</v>
      </c>
      <c r="N24" s="208">
        <v>31181312335</v>
      </c>
      <c r="O24" s="606" t="s">
        <v>236</v>
      </c>
    </row>
    <row r="25" spans="1:15" ht="24.95" customHeight="1">
      <c r="A25" s="608"/>
      <c r="B25" s="639"/>
      <c r="C25" s="617"/>
      <c r="D25" s="652"/>
      <c r="E25" s="245" t="s">
        <v>237</v>
      </c>
      <c r="F25" s="625"/>
      <c r="G25" s="670"/>
      <c r="H25" s="226">
        <v>2</v>
      </c>
      <c r="I25" s="263">
        <f>G24/6</f>
        <v>60.666666666666664</v>
      </c>
      <c r="J25" s="668"/>
      <c r="K25" s="658"/>
      <c r="L25" s="609" t="s">
        <v>175</v>
      </c>
      <c r="M25" s="611"/>
      <c r="N25" s="609"/>
      <c r="O25" s="608"/>
    </row>
    <row r="26" spans="1:15" ht="40.5" customHeight="1">
      <c r="A26" s="607"/>
      <c r="B26" s="639"/>
      <c r="C26" s="618"/>
      <c r="D26" s="646"/>
      <c r="E26" s="245" t="s">
        <v>238</v>
      </c>
      <c r="F26" s="624"/>
      <c r="G26" s="671"/>
      <c r="H26" s="227">
        <v>2</v>
      </c>
      <c r="I26" s="263">
        <f>I25</f>
        <v>60.666666666666664</v>
      </c>
      <c r="J26" s="649"/>
      <c r="K26" s="659"/>
      <c r="L26" s="610"/>
      <c r="M26" s="612"/>
      <c r="N26" s="610"/>
      <c r="O26" s="607"/>
    </row>
    <row r="27" spans="1:15" ht="92.25" customHeight="1">
      <c r="A27" s="606">
        <v>9</v>
      </c>
      <c r="B27" s="639"/>
      <c r="C27" s="616" t="s">
        <v>59</v>
      </c>
      <c r="D27" s="619">
        <v>1268</v>
      </c>
      <c r="E27" s="245" t="s">
        <v>239</v>
      </c>
      <c r="F27" s="623" t="s">
        <v>240</v>
      </c>
      <c r="G27" s="218">
        <v>272</v>
      </c>
      <c r="H27" s="626">
        <v>6</v>
      </c>
      <c r="I27" s="606">
        <f>(G27+G28)/H27</f>
        <v>62</v>
      </c>
      <c r="J27" s="655">
        <v>186254</v>
      </c>
      <c r="K27" s="631">
        <f>(G27+G28)*J27</f>
        <v>69286488</v>
      </c>
      <c r="L27" s="609" t="s">
        <v>241</v>
      </c>
      <c r="M27" s="613" t="s">
        <v>242</v>
      </c>
      <c r="N27" s="609">
        <v>3005995540</v>
      </c>
      <c r="O27" s="206" t="s">
        <v>243</v>
      </c>
    </row>
    <row r="28" spans="1:15" ht="57" customHeight="1">
      <c r="A28" s="608"/>
      <c r="B28" s="639"/>
      <c r="C28" s="618"/>
      <c r="D28" s="620"/>
      <c r="E28" s="245" t="s">
        <v>244</v>
      </c>
      <c r="F28" s="624"/>
      <c r="G28" s="217">
        <v>100</v>
      </c>
      <c r="H28" s="626"/>
      <c r="I28" s="607"/>
      <c r="J28" s="656"/>
      <c r="K28" s="632"/>
      <c r="L28" s="615"/>
      <c r="M28" s="614"/>
      <c r="N28" s="610"/>
      <c r="O28" s="206"/>
    </row>
    <row r="29" spans="1:15" ht="87" customHeight="1">
      <c r="A29" s="608"/>
      <c r="B29" s="639"/>
      <c r="C29" s="616" t="s">
        <v>245</v>
      </c>
      <c r="D29" s="620"/>
      <c r="E29" s="245" t="s">
        <v>60</v>
      </c>
      <c r="F29" s="623" t="s">
        <v>246</v>
      </c>
      <c r="G29" s="627">
        <v>896</v>
      </c>
      <c r="H29" s="628">
        <v>13</v>
      </c>
      <c r="I29" s="604">
        <v>69</v>
      </c>
      <c r="J29" s="622">
        <v>186254</v>
      </c>
      <c r="K29" s="630">
        <f>(G29+G30)*J29</f>
        <v>166883584</v>
      </c>
      <c r="L29" s="615"/>
      <c r="M29" s="213" t="s">
        <v>242</v>
      </c>
      <c r="N29" s="208">
        <v>3005995540</v>
      </c>
      <c r="O29" s="206" t="s">
        <v>247</v>
      </c>
    </row>
    <row r="30" spans="1:15" ht="24.95" customHeight="1">
      <c r="A30" s="608"/>
      <c r="B30" s="639"/>
      <c r="C30" s="617"/>
      <c r="D30" s="620"/>
      <c r="E30" s="245" t="s">
        <v>61</v>
      </c>
      <c r="F30" s="625"/>
      <c r="G30" s="628"/>
      <c r="H30" s="629"/>
      <c r="I30" s="605"/>
      <c r="J30" s="622"/>
      <c r="K30" s="630"/>
      <c r="L30" s="615"/>
      <c r="M30" s="213" t="s">
        <v>242</v>
      </c>
      <c r="N30" s="208">
        <v>3005995540</v>
      </c>
      <c r="O30" s="206"/>
    </row>
    <row r="31" spans="1:15" ht="24.95" customHeight="1">
      <c r="A31" s="607"/>
      <c r="B31" s="640"/>
      <c r="C31" s="618"/>
      <c r="D31" s="621"/>
      <c r="E31" s="245" t="s">
        <v>62</v>
      </c>
      <c r="F31" s="624"/>
      <c r="G31" s="221" t="s">
        <v>248</v>
      </c>
      <c r="H31" s="221" t="s">
        <v>248</v>
      </c>
      <c r="I31" s="206"/>
      <c r="J31" s="258" t="s">
        <v>248</v>
      </c>
      <c r="K31" s="233">
        <v>196000000</v>
      </c>
      <c r="L31" s="610"/>
      <c r="M31" s="213" t="s">
        <v>242</v>
      </c>
      <c r="N31" s="208">
        <v>3005995540</v>
      </c>
      <c r="O31" s="206"/>
    </row>
    <row r="32" spans="1:15" ht="123.75" customHeight="1">
      <c r="A32" s="206">
        <v>10</v>
      </c>
      <c r="B32" s="206" t="s">
        <v>249</v>
      </c>
      <c r="C32" s="206" t="s">
        <v>250</v>
      </c>
      <c r="D32" s="241">
        <v>60</v>
      </c>
      <c r="E32" s="245" t="s">
        <v>251</v>
      </c>
      <c r="F32" s="249" t="s">
        <v>252</v>
      </c>
      <c r="G32" s="216">
        <v>60</v>
      </c>
      <c r="H32" s="222">
        <v>4</v>
      </c>
      <c r="I32" s="206">
        <f>G32/H32</f>
        <v>15</v>
      </c>
      <c r="J32" s="257">
        <v>205000</v>
      </c>
      <c r="K32" s="231">
        <f>D32*J32</f>
        <v>12300000</v>
      </c>
      <c r="L32" s="206" t="s">
        <v>253</v>
      </c>
      <c r="M32" s="212" t="s">
        <v>173</v>
      </c>
      <c r="N32" s="208">
        <v>3118131235</v>
      </c>
      <c r="O32" s="206" t="s">
        <v>254</v>
      </c>
    </row>
    <row r="33" spans="1:15" ht="24.95" customHeight="1">
      <c r="A33" s="683" t="s">
        <v>255</v>
      </c>
      <c r="B33" s="684"/>
      <c r="C33" s="685"/>
      <c r="D33" s="210">
        <f>SUM(D2:D32)</f>
        <v>13995</v>
      </c>
      <c r="E33" s="238"/>
      <c r="F33" s="232"/>
      <c r="G33" s="209"/>
      <c r="H33" s="228">
        <f>H2+H4+H6+H8+H9+H10+H12+H13+H14+H15+H16+H17+H18+H19+H20+H22+H23+H24+H25+H26+H27+H29+H32</f>
        <v>154</v>
      </c>
      <c r="I33" s="255"/>
      <c r="J33" s="223"/>
      <c r="K33" s="229">
        <f>SUM(K2:K32)</f>
        <v>2691023510</v>
      </c>
      <c r="L33" s="232"/>
      <c r="M33" s="232"/>
      <c r="N33" s="232"/>
      <c r="O33" s="206"/>
    </row>
    <row r="34" spans="1:15" ht="42" customHeight="1"/>
    <row r="35" spans="1:15" ht="36" customHeight="1"/>
  </sheetData>
  <mergeCells count="97">
    <mergeCell ref="E2:E3"/>
    <mergeCell ref="A33:C33"/>
    <mergeCell ref="M19:M23"/>
    <mergeCell ref="N12:N16"/>
    <mergeCell ref="L19:L23"/>
    <mergeCell ref="G2:G3"/>
    <mergeCell ref="G4:G5"/>
    <mergeCell ref="G6:G7"/>
    <mergeCell ref="L17:L18"/>
    <mergeCell ref="M17:M18"/>
    <mergeCell ref="N17:N18"/>
    <mergeCell ref="H4:H5"/>
    <mergeCell ref="N19:N23"/>
    <mergeCell ref="L12:L16"/>
    <mergeCell ref="M12:M16"/>
    <mergeCell ref="D2:D3"/>
    <mergeCell ref="K2:K3"/>
    <mergeCell ref="D10:D11"/>
    <mergeCell ref="G24:G26"/>
    <mergeCell ref="G10:G11"/>
    <mergeCell ref="G20:G21"/>
    <mergeCell ref="F24:F26"/>
    <mergeCell ref="D24:D26"/>
    <mergeCell ref="E10:E11"/>
    <mergeCell ref="F10:F11"/>
    <mergeCell ref="D12:D18"/>
    <mergeCell ref="D19:D23"/>
    <mergeCell ref="H10:H11"/>
    <mergeCell ref="H20:H21"/>
    <mergeCell ref="J2:J3"/>
    <mergeCell ref="H2:H3"/>
    <mergeCell ref="J4:J5"/>
    <mergeCell ref="I2:I3"/>
    <mergeCell ref="I4:I5"/>
    <mergeCell ref="I10:I11"/>
    <mergeCell ref="I20:I21"/>
    <mergeCell ref="J24:J26"/>
    <mergeCell ref="I6:I7"/>
    <mergeCell ref="J27:J28"/>
    <mergeCell ref="K24:K26"/>
    <mergeCell ref="K10:K11"/>
    <mergeCell ref="J10:J11"/>
    <mergeCell ref="K12:K18"/>
    <mergeCell ref="J12:J18"/>
    <mergeCell ref="K19:K23"/>
    <mergeCell ref="J19:J23"/>
    <mergeCell ref="D4:D5"/>
    <mergeCell ref="K4:K5"/>
    <mergeCell ref="K6:K7"/>
    <mergeCell ref="J6:J7"/>
    <mergeCell ref="H6:H7"/>
    <mergeCell ref="E6:E7"/>
    <mergeCell ref="D6:D7"/>
    <mergeCell ref="E4:E5"/>
    <mergeCell ref="F4:F5"/>
    <mergeCell ref="F6:F7"/>
    <mergeCell ref="A2:A3"/>
    <mergeCell ref="A6:A7"/>
    <mergeCell ref="A4:A5"/>
    <mergeCell ref="A10:A11"/>
    <mergeCell ref="B8:B31"/>
    <mergeCell ref="B4:B7"/>
    <mergeCell ref="A19:A23"/>
    <mergeCell ref="A12:A18"/>
    <mergeCell ref="A24:A26"/>
    <mergeCell ref="A8:A9"/>
    <mergeCell ref="A27:A31"/>
    <mergeCell ref="C24:C26"/>
    <mergeCell ref="C10:C11"/>
    <mergeCell ref="C4:C5"/>
    <mergeCell ref="C6:C7"/>
    <mergeCell ref="B2:B3"/>
    <mergeCell ref="C2:C3"/>
    <mergeCell ref="C19:C23"/>
    <mergeCell ref="C12:C18"/>
    <mergeCell ref="M27:M28"/>
    <mergeCell ref="N27:N28"/>
    <mergeCell ref="L27:L31"/>
    <mergeCell ref="C29:C31"/>
    <mergeCell ref="C27:C28"/>
    <mergeCell ref="D27:D31"/>
    <mergeCell ref="J29:J30"/>
    <mergeCell ref="F27:F28"/>
    <mergeCell ref="F29:F31"/>
    <mergeCell ref="H27:H28"/>
    <mergeCell ref="G29:G30"/>
    <mergeCell ref="H29:H30"/>
    <mergeCell ref="K29:K30"/>
    <mergeCell ref="I27:I28"/>
    <mergeCell ref="I29:I30"/>
    <mergeCell ref="K27:K28"/>
    <mergeCell ref="O6:O7"/>
    <mergeCell ref="O4:O5"/>
    <mergeCell ref="O24:O26"/>
    <mergeCell ref="L25:L26"/>
    <mergeCell ref="M25:M26"/>
    <mergeCell ref="N25:N26"/>
  </mergeCells>
  <hyperlinks>
    <hyperlink ref="M12" r:id="rId1" xr:uid="{B3E75B2F-D9AE-4EA6-9A93-3BE71489BE8E}"/>
    <hyperlink ref="M6" r:id="rId2" xr:uid="{72203A1D-3EF6-4683-BB8A-D3E878EC7E5C}"/>
    <hyperlink ref="M4" r:id="rId3" xr:uid="{A41ED216-3D20-42B7-9254-6A316E05DBED}"/>
    <hyperlink ref="M24" r:id="rId4" xr:uid="{4432A71E-73C9-4719-B586-A1B21A5E8213}"/>
    <hyperlink ref="M11" r:id="rId5" xr:uid="{CFDC057C-4D57-4657-8DAF-78E90065BE85}"/>
    <hyperlink ref="M3" r:id="rId6" xr:uid="{F35665A0-B5B2-4474-A47E-4D86CD10C95E}"/>
    <hyperlink ref="M17:M18" r:id="rId7" display="rmanrique@uniempresarial.edu.co" xr:uid="{A636B9C0-40AE-4746-82F2-757320D905D4}"/>
    <hyperlink ref="M32" r:id="rId8" xr:uid="{46B75A2D-5B41-427A-881F-D1E06C031A1C}"/>
    <hyperlink ref="M10" r:id="rId9" xr:uid="{4D7CB9AA-9ACE-4DD2-BC9D-932796296272}"/>
    <hyperlink ref="M2" r:id="rId10" xr:uid="{C866DE20-734A-4614-9C75-CDF3C77E8024}"/>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C596F9-AF65-4B3A-8C32-B2B9E9116380}">
  <dimension ref="A1:M33"/>
  <sheetViews>
    <sheetView topLeftCell="A2" workbookViewId="0">
      <selection activeCell="E15" sqref="E15"/>
    </sheetView>
  </sheetViews>
  <sheetFormatPr defaultRowHeight="15"/>
  <cols>
    <col min="2" max="2" width="16.28515625" customWidth="1"/>
    <col min="3" max="3" width="35.140625" customWidth="1"/>
    <col min="5" max="5" width="36" customWidth="1"/>
    <col min="6" max="6" width="49" customWidth="1"/>
  </cols>
  <sheetData>
    <row r="1" spans="1:13" ht="59.25">
      <c r="A1" s="436" t="s">
        <v>150</v>
      </c>
      <c r="B1" s="436" t="s">
        <v>91</v>
      </c>
      <c r="C1" s="436" t="s">
        <v>150</v>
      </c>
      <c r="D1" s="437" t="s">
        <v>92</v>
      </c>
      <c r="E1" s="436" t="s">
        <v>151</v>
      </c>
      <c r="F1" s="438" t="s">
        <v>152</v>
      </c>
      <c r="G1" s="439" t="s">
        <v>153</v>
      </c>
      <c r="H1" s="439" t="s">
        <v>154</v>
      </c>
      <c r="I1" s="439" t="s">
        <v>155</v>
      </c>
      <c r="J1" s="439" t="s">
        <v>156</v>
      </c>
      <c r="K1" s="439" t="s">
        <v>93</v>
      </c>
      <c r="L1" s="440" t="s">
        <v>256</v>
      </c>
      <c r="M1" s="441" t="s">
        <v>257</v>
      </c>
    </row>
    <row r="2" spans="1:13" ht="19.5">
      <c r="A2" s="606">
        <v>1</v>
      </c>
      <c r="B2" s="604" t="s">
        <v>161</v>
      </c>
      <c r="C2" s="606" t="s">
        <v>162</v>
      </c>
      <c r="D2" s="645">
        <v>1310</v>
      </c>
      <c r="E2" s="681" t="s">
        <v>162</v>
      </c>
      <c r="F2" s="246" t="s">
        <v>163</v>
      </c>
      <c r="G2" s="690">
        <f>D2</f>
        <v>1310</v>
      </c>
      <c r="H2" s="626">
        <v>10</v>
      </c>
      <c r="I2" s="691">
        <f>G2/H2</f>
        <v>131</v>
      </c>
      <c r="J2" s="698">
        <v>175634</v>
      </c>
      <c r="K2" s="647">
        <f>J2*D2</f>
        <v>230080540</v>
      </c>
      <c r="L2" s="695"/>
      <c r="M2" s="696">
        <f>L2*$J$2</f>
        <v>0</v>
      </c>
    </row>
    <row r="3" spans="1:13" ht="19.5">
      <c r="A3" s="607"/>
      <c r="B3" s="605"/>
      <c r="C3" s="607"/>
      <c r="D3" s="646"/>
      <c r="E3" s="682"/>
      <c r="F3" s="247" t="s">
        <v>166</v>
      </c>
      <c r="G3" s="673"/>
      <c r="H3" s="626"/>
      <c r="I3" s="691"/>
      <c r="J3" s="698"/>
      <c r="K3" s="647"/>
      <c r="L3" s="695"/>
      <c r="M3" s="697"/>
    </row>
    <row r="4" spans="1:13">
      <c r="A4" s="606">
        <v>2</v>
      </c>
      <c r="B4" s="604" t="s">
        <v>169</v>
      </c>
      <c r="C4" s="604" t="s">
        <v>140</v>
      </c>
      <c r="D4" s="645">
        <v>460</v>
      </c>
      <c r="E4" s="650" t="s">
        <v>170</v>
      </c>
      <c r="F4" s="623" t="s">
        <v>171</v>
      </c>
      <c r="G4" s="689">
        <v>460</v>
      </c>
      <c r="H4" s="626">
        <v>5</v>
      </c>
      <c r="I4" s="689">
        <f>G4/H4</f>
        <v>92</v>
      </c>
      <c r="J4" s="698">
        <v>223020</v>
      </c>
      <c r="K4" s="647">
        <f>J4*D4</f>
        <v>102589200</v>
      </c>
      <c r="L4" s="699"/>
      <c r="M4" s="696">
        <f>L4*$J$4</f>
        <v>0</v>
      </c>
    </row>
    <row r="5" spans="1:13">
      <c r="A5" s="607"/>
      <c r="B5" s="635"/>
      <c r="C5" s="605"/>
      <c r="D5" s="646"/>
      <c r="E5" s="653"/>
      <c r="F5" s="654"/>
      <c r="G5" s="673"/>
      <c r="H5" s="626"/>
      <c r="I5" s="673"/>
      <c r="J5" s="698"/>
      <c r="K5" s="647"/>
      <c r="L5" s="700"/>
      <c r="M5" s="697"/>
    </row>
    <row r="6" spans="1:13">
      <c r="A6" s="606">
        <v>3</v>
      </c>
      <c r="B6" s="635"/>
      <c r="C6" s="604" t="s">
        <v>146</v>
      </c>
      <c r="D6" s="645">
        <v>1600</v>
      </c>
      <c r="E6" s="650" t="s">
        <v>176</v>
      </c>
      <c r="F6" s="623" t="s">
        <v>177</v>
      </c>
      <c r="G6" s="689">
        <v>1600</v>
      </c>
      <c r="H6" s="626">
        <v>10</v>
      </c>
      <c r="I6" s="689">
        <f>G6/H6</f>
        <v>160</v>
      </c>
      <c r="J6" s="698">
        <v>175634</v>
      </c>
      <c r="K6" s="647">
        <f>J6*D6</f>
        <v>281014400</v>
      </c>
      <c r="L6" s="699">
        <v>95</v>
      </c>
      <c r="M6" s="696">
        <f>L6*$J$6</f>
        <v>16685230</v>
      </c>
    </row>
    <row r="7" spans="1:13">
      <c r="A7" s="608"/>
      <c r="B7" s="641"/>
      <c r="C7" s="635"/>
      <c r="D7" s="652"/>
      <c r="E7" s="651"/>
      <c r="F7" s="624"/>
      <c r="G7" s="672"/>
      <c r="H7" s="626"/>
      <c r="I7" s="673"/>
      <c r="J7" s="698"/>
      <c r="K7" s="647"/>
      <c r="L7" s="700"/>
      <c r="M7" s="697"/>
    </row>
    <row r="8" spans="1:13" ht="32.25" customHeight="1">
      <c r="A8" s="644">
        <v>4</v>
      </c>
      <c r="B8" s="638" t="s">
        <v>180</v>
      </c>
      <c r="C8" s="280" t="s">
        <v>181</v>
      </c>
      <c r="D8" s="240">
        <v>818</v>
      </c>
      <c r="E8" s="243" t="s">
        <v>182</v>
      </c>
      <c r="F8" s="248" t="s">
        <v>183</v>
      </c>
      <c r="G8" s="221">
        <v>818</v>
      </c>
      <c r="H8" s="221">
        <v>10</v>
      </c>
      <c r="I8" s="377">
        <f>G8/H8</f>
        <v>81.8</v>
      </c>
      <c r="J8" s="447">
        <v>175634</v>
      </c>
      <c r="K8" s="234">
        <f>J8*D8</f>
        <v>143668612</v>
      </c>
      <c r="L8" s="448"/>
      <c r="M8" s="452">
        <f>J8*L8</f>
        <v>0</v>
      </c>
    </row>
    <row r="9" spans="1:13" ht="19.5">
      <c r="A9" s="644"/>
      <c r="B9" s="639"/>
      <c r="C9" s="280" t="s">
        <v>187</v>
      </c>
      <c r="D9" s="240">
        <v>765</v>
      </c>
      <c r="E9" s="243" t="s">
        <v>188</v>
      </c>
      <c r="F9" s="248" t="s">
        <v>189</v>
      </c>
      <c r="G9" s="221">
        <v>765</v>
      </c>
      <c r="H9" s="221">
        <v>9</v>
      </c>
      <c r="I9" s="377">
        <f>G9/H9</f>
        <v>85</v>
      </c>
      <c r="J9" s="447">
        <v>175634</v>
      </c>
      <c r="K9" s="234">
        <f>J9*D9</f>
        <v>134360010</v>
      </c>
      <c r="L9" s="448"/>
      <c r="M9" s="452">
        <f>J9*L9</f>
        <v>0</v>
      </c>
    </row>
    <row r="10" spans="1:13">
      <c r="A10" s="608">
        <v>5</v>
      </c>
      <c r="B10" s="639"/>
      <c r="C10" s="633" t="s">
        <v>58</v>
      </c>
      <c r="D10" s="652">
        <v>1142</v>
      </c>
      <c r="E10" s="651" t="s">
        <v>191</v>
      </c>
      <c r="F10" s="623" t="s">
        <v>192</v>
      </c>
      <c r="G10" s="672">
        <v>1142</v>
      </c>
      <c r="H10" s="626">
        <v>10</v>
      </c>
      <c r="I10" s="689">
        <f>G10/H10</f>
        <v>114.2</v>
      </c>
      <c r="J10" s="698">
        <v>175634</v>
      </c>
      <c r="K10" s="647">
        <f>J10*D10</f>
        <v>200574028</v>
      </c>
      <c r="L10" s="699"/>
      <c r="M10" s="696">
        <f>L10*$J$10</f>
        <v>0</v>
      </c>
    </row>
    <row r="11" spans="1:13">
      <c r="A11" s="607"/>
      <c r="B11" s="639"/>
      <c r="C11" s="634"/>
      <c r="D11" s="652"/>
      <c r="E11" s="653"/>
      <c r="F11" s="624"/>
      <c r="G11" s="673"/>
      <c r="H11" s="626"/>
      <c r="I11" s="673"/>
      <c r="J11" s="698"/>
      <c r="K11" s="647"/>
      <c r="L11" s="700"/>
      <c r="M11" s="697"/>
    </row>
    <row r="12" spans="1:13" ht="29.25">
      <c r="A12" s="643">
        <v>6</v>
      </c>
      <c r="B12" s="639"/>
      <c r="C12" s="637" t="s">
        <v>66</v>
      </c>
      <c r="D12" s="676">
        <v>4300</v>
      </c>
      <c r="E12" s="242" t="s">
        <v>193</v>
      </c>
      <c r="F12" s="248" t="s">
        <v>194</v>
      </c>
      <c r="G12" s="224">
        <f>200+40</f>
        <v>240</v>
      </c>
      <c r="H12" s="256">
        <v>3</v>
      </c>
      <c r="I12" s="225">
        <f t="shared" ref="I12:I20" si="0">G12/H12</f>
        <v>80</v>
      </c>
      <c r="J12" s="698">
        <v>175634</v>
      </c>
      <c r="K12" s="647">
        <f>J12*D12</f>
        <v>755226200</v>
      </c>
      <c r="L12" s="455"/>
      <c r="M12" s="452">
        <f>J12*$L$12</f>
        <v>0</v>
      </c>
    </row>
    <row r="13" spans="1:13" ht="19.5">
      <c r="A13" s="643"/>
      <c r="B13" s="639"/>
      <c r="C13" s="637"/>
      <c r="D13" s="676"/>
      <c r="E13" s="244" t="s">
        <v>198</v>
      </c>
      <c r="F13" s="248" t="s">
        <v>199</v>
      </c>
      <c r="G13" s="225">
        <f>480+60</f>
        <v>540</v>
      </c>
      <c r="H13" s="256">
        <v>5</v>
      </c>
      <c r="I13" s="225">
        <f t="shared" si="0"/>
        <v>108</v>
      </c>
      <c r="J13" s="698"/>
      <c r="K13" s="647"/>
      <c r="L13" s="455"/>
      <c r="M13" s="452">
        <f>L13*J12</f>
        <v>0</v>
      </c>
    </row>
    <row r="14" spans="1:13" ht="29.25">
      <c r="A14" s="643"/>
      <c r="B14" s="639"/>
      <c r="C14" s="637"/>
      <c r="D14" s="676"/>
      <c r="E14" s="244" t="s">
        <v>201</v>
      </c>
      <c r="F14" s="248" t="s">
        <v>202</v>
      </c>
      <c r="G14" s="225">
        <f>762+84</f>
        <v>846</v>
      </c>
      <c r="H14" s="256">
        <v>6</v>
      </c>
      <c r="I14" s="225">
        <f t="shared" si="0"/>
        <v>141</v>
      </c>
      <c r="J14" s="698"/>
      <c r="K14" s="647"/>
      <c r="L14" s="455"/>
      <c r="M14" s="452">
        <f>L14*$J$12</f>
        <v>0</v>
      </c>
    </row>
    <row r="15" spans="1:13" ht="19.5">
      <c r="A15" s="643"/>
      <c r="B15" s="639"/>
      <c r="C15" s="637"/>
      <c r="D15" s="676"/>
      <c r="E15" s="244" t="s">
        <v>204</v>
      </c>
      <c r="F15" s="248" t="s">
        <v>205</v>
      </c>
      <c r="G15" s="225">
        <v>128</v>
      </c>
      <c r="H15" s="256">
        <v>3</v>
      </c>
      <c r="I15" s="456">
        <f t="shared" si="0"/>
        <v>42.666666666666664</v>
      </c>
      <c r="J15" s="698"/>
      <c r="K15" s="647"/>
      <c r="L15" s="457"/>
      <c r="M15" s="452">
        <f>L15*$J$12</f>
        <v>0</v>
      </c>
    </row>
    <row r="16" spans="1:13" ht="19.5">
      <c r="A16" s="643"/>
      <c r="B16" s="639"/>
      <c r="C16" s="637"/>
      <c r="D16" s="676"/>
      <c r="E16" s="244" t="s">
        <v>207</v>
      </c>
      <c r="F16" s="248" t="s">
        <v>208</v>
      </c>
      <c r="G16" s="225">
        <f>480+30</f>
        <v>510</v>
      </c>
      <c r="H16" s="256">
        <v>5</v>
      </c>
      <c r="I16" s="225">
        <f t="shared" si="0"/>
        <v>102</v>
      </c>
      <c r="J16" s="698"/>
      <c r="K16" s="647"/>
      <c r="L16" s="455"/>
      <c r="M16" s="452">
        <f>L16*$J$12</f>
        <v>0</v>
      </c>
    </row>
    <row r="17" spans="1:13" ht="29.25">
      <c r="A17" s="643"/>
      <c r="B17" s="639"/>
      <c r="C17" s="637"/>
      <c r="D17" s="676"/>
      <c r="E17" s="244" t="s">
        <v>209</v>
      </c>
      <c r="F17" s="248" t="s">
        <v>210</v>
      </c>
      <c r="G17" s="225">
        <f>782+72</f>
        <v>854</v>
      </c>
      <c r="H17" s="256">
        <v>8</v>
      </c>
      <c r="I17" s="456">
        <f t="shared" si="0"/>
        <v>106.75</v>
      </c>
      <c r="J17" s="698"/>
      <c r="K17" s="647"/>
      <c r="L17" s="457"/>
      <c r="M17" s="452">
        <f>L17*$J$12</f>
        <v>0</v>
      </c>
    </row>
    <row r="18" spans="1:13" ht="19.5">
      <c r="A18" s="606"/>
      <c r="B18" s="639"/>
      <c r="C18" s="616"/>
      <c r="D18" s="676"/>
      <c r="E18" s="244" t="s">
        <v>214</v>
      </c>
      <c r="F18" s="248" t="s">
        <v>215</v>
      </c>
      <c r="G18" s="235">
        <f>1182</f>
        <v>1182</v>
      </c>
      <c r="H18" s="256">
        <v>20</v>
      </c>
      <c r="I18" s="225">
        <f t="shared" si="0"/>
        <v>59.1</v>
      </c>
      <c r="J18" s="698"/>
      <c r="K18" s="647"/>
      <c r="L18" s="455"/>
      <c r="M18" s="452">
        <f>L18*$J$12</f>
        <v>0</v>
      </c>
    </row>
    <row r="19" spans="1:13" ht="19.5">
      <c r="A19" s="642">
        <v>7</v>
      </c>
      <c r="B19" s="639"/>
      <c r="C19" s="636" t="s">
        <v>217</v>
      </c>
      <c r="D19" s="677">
        <v>1908</v>
      </c>
      <c r="E19" s="244" t="s">
        <v>218</v>
      </c>
      <c r="F19" s="249" t="s">
        <v>219</v>
      </c>
      <c r="G19" s="215">
        <v>1044</v>
      </c>
      <c r="H19" s="237">
        <v>13</v>
      </c>
      <c r="I19" s="458">
        <f t="shared" si="0"/>
        <v>80.307692307692307</v>
      </c>
      <c r="J19" s="707">
        <v>175634</v>
      </c>
      <c r="K19" s="707">
        <f>J19*D19</f>
        <v>335109672</v>
      </c>
      <c r="L19" s="459"/>
      <c r="M19" s="460">
        <f>L19*$J$19</f>
        <v>0</v>
      </c>
    </row>
    <row r="20" spans="1:13" ht="19.5">
      <c r="A20" s="642"/>
      <c r="B20" s="639"/>
      <c r="C20" s="636"/>
      <c r="D20" s="677"/>
      <c r="E20" s="244" t="s">
        <v>221</v>
      </c>
      <c r="F20" s="249" t="s">
        <v>222</v>
      </c>
      <c r="G20" s="674">
        <v>192</v>
      </c>
      <c r="H20" s="679">
        <v>2</v>
      </c>
      <c r="I20" s="701">
        <f t="shared" si="0"/>
        <v>96</v>
      </c>
      <c r="J20" s="707"/>
      <c r="K20" s="707"/>
      <c r="L20" s="703"/>
      <c r="M20" s="705">
        <f>L20*$J$19</f>
        <v>0</v>
      </c>
    </row>
    <row r="21" spans="1:13">
      <c r="A21" s="642"/>
      <c r="B21" s="639"/>
      <c r="C21" s="636"/>
      <c r="D21" s="677"/>
      <c r="E21" s="244" t="s">
        <v>224</v>
      </c>
      <c r="F21" s="249" t="s">
        <v>225</v>
      </c>
      <c r="G21" s="675"/>
      <c r="H21" s="680"/>
      <c r="I21" s="702"/>
      <c r="J21" s="707"/>
      <c r="K21" s="707"/>
      <c r="L21" s="704"/>
      <c r="M21" s="706"/>
    </row>
    <row r="22" spans="1:13" ht="48.75">
      <c r="A22" s="642"/>
      <c r="B22" s="639"/>
      <c r="C22" s="636"/>
      <c r="D22" s="677"/>
      <c r="E22" s="244" t="s">
        <v>227</v>
      </c>
      <c r="F22" s="249" t="s">
        <v>228</v>
      </c>
      <c r="G22" s="215">
        <v>336</v>
      </c>
      <c r="H22" s="219">
        <v>3</v>
      </c>
      <c r="I22" s="276">
        <f>G22/H22</f>
        <v>112</v>
      </c>
      <c r="J22" s="707"/>
      <c r="K22" s="707"/>
      <c r="L22" s="461"/>
      <c r="M22" s="460">
        <f>L22*$J$19</f>
        <v>0</v>
      </c>
    </row>
    <row r="23" spans="1:13">
      <c r="A23" s="642"/>
      <c r="B23" s="639"/>
      <c r="C23" s="636"/>
      <c r="D23" s="678"/>
      <c r="E23" s="244" t="s">
        <v>230</v>
      </c>
      <c r="F23" s="249" t="s">
        <v>231</v>
      </c>
      <c r="G23" s="215">
        <v>336</v>
      </c>
      <c r="H23" s="220">
        <v>3</v>
      </c>
      <c r="I23" s="276">
        <f>G23/H23</f>
        <v>112</v>
      </c>
      <c r="J23" s="707"/>
      <c r="K23" s="707"/>
      <c r="L23" s="461"/>
      <c r="M23" s="460">
        <f>L23*$J$19</f>
        <v>0</v>
      </c>
    </row>
    <row r="24" spans="1:13" ht="19.5">
      <c r="A24" s="608">
        <v>8</v>
      </c>
      <c r="B24" s="639"/>
      <c r="C24" s="617" t="s">
        <v>233</v>
      </c>
      <c r="D24" s="645">
        <v>364</v>
      </c>
      <c r="E24" s="245" t="s">
        <v>234</v>
      </c>
      <c r="F24" s="623" t="s">
        <v>235</v>
      </c>
      <c r="G24" s="669">
        <v>364</v>
      </c>
      <c r="H24" s="226">
        <v>2</v>
      </c>
      <c r="I24" s="462">
        <v>60.6666666666667</v>
      </c>
      <c r="J24" s="698">
        <v>175634</v>
      </c>
      <c r="K24" s="647">
        <f>J24*D24</f>
        <v>63930776</v>
      </c>
      <c r="L24" s="463"/>
      <c r="M24" s="452">
        <f>L24*$J$24</f>
        <v>0</v>
      </c>
    </row>
    <row r="25" spans="1:13">
      <c r="A25" s="608"/>
      <c r="B25" s="639"/>
      <c r="C25" s="617"/>
      <c r="D25" s="652"/>
      <c r="E25" s="245" t="s">
        <v>237</v>
      </c>
      <c r="F25" s="625"/>
      <c r="G25" s="670"/>
      <c r="H25" s="226">
        <v>2</v>
      </c>
      <c r="I25" s="462">
        <f>G24/6</f>
        <v>60.666666666666664</v>
      </c>
      <c r="J25" s="698"/>
      <c r="K25" s="647"/>
      <c r="L25" s="463"/>
      <c r="M25" s="452">
        <f>L25*$J$24</f>
        <v>0</v>
      </c>
    </row>
    <row r="26" spans="1:13" ht="19.5">
      <c r="A26" s="607"/>
      <c r="B26" s="639"/>
      <c r="C26" s="618"/>
      <c r="D26" s="646"/>
      <c r="E26" s="245" t="s">
        <v>238</v>
      </c>
      <c r="F26" s="624"/>
      <c r="G26" s="671"/>
      <c r="H26" s="227">
        <v>2</v>
      </c>
      <c r="I26" s="462">
        <f>I25</f>
        <v>60.666666666666664</v>
      </c>
      <c r="J26" s="698"/>
      <c r="K26" s="647"/>
      <c r="L26" s="553"/>
      <c r="M26" s="547">
        <f>L26*$J$24</f>
        <v>0</v>
      </c>
    </row>
    <row r="27" spans="1:13">
      <c r="A27" s="606">
        <v>9</v>
      </c>
      <c r="B27" s="639"/>
      <c r="C27" s="616" t="s">
        <v>59</v>
      </c>
      <c r="D27" s="619">
        <v>1268</v>
      </c>
      <c r="E27" s="245" t="s">
        <v>239</v>
      </c>
      <c r="F27" s="623" t="s">
        <v>240</v>
      </c>
      <c r="G27" s="218">
        <v>272</v>
      </c>
      <c r="H27" s="626">
        <v>6</v>
      </c>
      <c r="I27" s="689">
        <f>(G27+G28)/H27</f>
        <v>62</v>
      </c>
      <c r="J27" s="630">
        <v>186254</v>
      </c>
      <c r="K27" s="712">
        <f>(G27+G28)*J27</f>
        <v>69286488</v>
      </c>
      <c r="L27" s="217"/>
      <c r="M27" s="554">
        <f>L27*$J$27</f>
        <v>0</v>
      </c>
    </row>
    <row r="28" spans="1:13" ht="19.5">
      <c r="A28" s="608"/>
      <c r="B28" s="639"/>
      <c r="C28" s="618"/>
      <c r="D28" s="620"/>
      <c r="E28" s="245" t="s">
        <v>244</v>
      </c>
      <c r="F28" s="624"/>
      <c r="G28" s="217">
        <v>100</v>
      </c>
      <c r="H28" s="626"/>
      <c r="I28" s="673"/>
      <c r="J28" s="630"/>
      <c r="K28" s="712"/>
      <c r="L28" s="217">
        <v>8</v>
      </c>
      <c r="M28" s="554">
        <f>L28*J27</f>
        <v>1490032</v>
      </c>
    </row>
    <row r="29" spans="1:13" ht="19.5">
      <c r="A29" s="608"/>
      <c r="B29" s="639"/>
      <c r="C29" s="616" t="s">
        <v>245</v>
      </c>
      <c r="D29" s="620"/>
      <c r="E29" s="245" t="s">
        <v>60</v>
      </c>
      <c r="F29" s="623" t="s">
        <v>246</v>
      </c>
      <c r="G29" s="713">
        <v>896</v>
      </c>
      <c r="H29" s="716">
        <v>13</v>
      </c>
      <c r="I29" s="719">
        <v>69</v>
      </c>
      <c r="J29" s="630">
        <v>186254</v>
      </c>
      <c r="K29" s="630">
        <f>(G29+G30)*J29</f>
        <v>166883584</v>
      </c>
      <c r="L29" s="708"/>
      <c r="M29" s="710">
        <f>L29*$J$29</f>
        <v>0</v>
      </c>
    </row>
    <row r="30" spans="1:13">
      <c r="A30" s="608"/>
      <c r="B30" s="639"/>
      <c r="C30" s="617"/>
      <c r="D30" s="620"/>
      <c r="E30" s="245" t="s">
        <v>61</v>
      </c>
      <c r="F30" s="625"/>
      <c r="G30" s="714"/>
      <c r="H30" s="717"/>
      <c r="I30" s="720"/>
      <c r="J30" s="630"/>
      <c r="K30" s="630"/>
      <c r="L30" s="709"/>
      <c r="M30" s="711"/>
    </row>
    <row r="31" spans="1:13">
      <c r="A31" s="607"/>
      <c r="B31" s="640"/>
      <c r="C31" s="618"/>
      <c r="D31" s="621"/>
      <c r="E31" s="245" t="s">
        <v>62</v>
      </c>
      <c r="F31" s="624"/>
      <c r="G31" s="715"/>
      <c r="H31" s="718"/>
      <c r="I31" s="721"/>
      <c r="J31" s="630"/>
      <c r="K31" s="233">
        <v>196000000</v>
      </c>
      <c r="L31" s="448"/>
      <c r="M31" s="452">
        <f>L31*$J$29</f>
        <v>0</v>
      </c>
    </row>
    <row r="32" spans="1:13" ht="29.25">
      <c r="A32" s="206">
        <v>10</v>
      </c>
      <c r="B32" s="206" t="s">
        <v>249</v>
      </c>
      <c r="C32" s="206" t="s">
        <v>250</v>
      </c>
      <c r="D32" s="241">
        <v>60</v>
      </c>
      <c r="E32" s="245" t="s">
        <v>251</v>
      </c>
      <c r="F32" s="249" t="s">
        <v>258</v>
      </c>
      <c r="G32" s="216">
        <v>60</v>
      </c>
      <c r="H32" s="222">
        <v>4</v>
      </c>
      <c r="I32" s="377">
        <f>G32/H32</f>
        <v>15</v>
      </c>
      <c r="J32" s="447">
        <v>205000</v>
      </c>
      <c r="K32" s="234">
        <f>D32*J32</f>
        <v>12300000</v>
      </c>
      <c r="L32" s="448"/>
      <c r="M32" s="452">
        <f>L32*$J$32</f>
        <v>0</v>
      </c>
    </row>
    <row r="33" spans="1:13">
      <c r="A33" s="683" t="s">
        <v>255</v>
      </c>
      <c r="B33" s="684"/>
      <c r="C33" s="685"/>
      <c r="D33" s="210">
        <f>SUM(D2:D32)</f>
        <v>13995</v>
      </c>
      <c r="E33" s="238"/>
      <c r="F33" s="232"/>
      <c r="G33" s="209"/>
      <c r="H33" s="228">
        <f>H2+H4+H6+H8+H9+H10+H12+H13+H14+H15+H16+H17+H18+H19+H20+H22+H23+H24+H25+H26+H27+H29+H32</f>
        <v>154</v>
      </c>
      <c r="I33" s="255"/>
      <c r="J33" s="464"/>
      <c r="K33" s="465">
        <f>SUM(K2:K32)</f>
        <v>2691023510</v>
      </c>
      <c r="L33" s="229">
        <f t="shared" ref="L33:M33" si="1">SUM(L2:L32)</f>
        <v>103</v>
      </c>
      <c r="M33" s="466">
        <f t="shared" si="1"/>
        <v>18175262</v>
      </c>
    </row>
  </sheetData>
  <mergeCells count="91">
    <mergeCell ref="L29:L30"/>
    <mergeCell ref="M29:M30"/>
    <mergeCell ref="A33:C33"/>
    <mergeCell ref="J27:J28"/>
    <mergeCell ref="K27:K28"/>
    <mergeCell ref="C29:C31"/>
    <mergeCell ref="F29:F31"/>
    <mergeCell ref="G29:G31"/>
    <mergeCell ref="H29:H31"/>
    <mergeCell ref="I29:I31"/>
    <mergeCell ref="J29:J31"/>
    <mergeCell ref="K29:K30"/>
    <mergeCell ref="A27:A31"/>
    <mergeCell ref="C27:C28"/>
    <mergeCell ref="D27:D31"/>
    <mergeCell ref="F27:F28"/>
    <mergeCell ref="A19:A23"/>
    <mergeCell ref="C19:C23"/>
    <mergeCell ref="D19:D23"/>
    <mergeCell ref="J19:J23"/>
    <mergeCell ref="K19:K23"/>
    <mergeCell ref="A24:A26"/>
    <mergeCell ref="C24:C26"/>
    <mergeCell ref="D24:D26"/>
    <mergeCell ref="F24:F26"/>
    <mergeCell ref="G24:G26"/>
    <mergeCell ref="L10:L11"/>
    <mergeCell ref="H27:H28"/>
    <mergeCell ref="I27:I28"/>
    <mergeCell ref="L20:L21"/>
    <mergeCell ref="M20:M21"/>
    <mergeCell ref="J24:J26"/>
    <mergeCell ref="K24:K26"/>
    <mergeCell ref="D12:D18"/>
    <mergeCell ref="J12:J18"/>
    <mergeCell ref="K12:K18"/>
    <mergeCell ref="G10:G11"/>
    <mergeCell ref="H10:H11"/>
    <mergeCell ref="I10:I11"/>
    <mergeCell ref="J10:J11"/>
    <mergeCell ref="K10:K11"/>
    <mergeCell ref="K6:K7"/>
    <mergeCell ref="L6:L7"/>
    <mergeCell ref="M6:M7"/>
    <mergeCell ref="A8:A9"/>
    <mergeCell ref="B8:B31"/>
    <mergeCell ref="A10:A11"/>
    <mergeCell ref="C10:C11"/>
    <mergeCell ref="D10:D11"/>
    <mergeCell ref="E10:E11"/>
    <mergeCell ref="F10:F11"/>
    <mergeCell ref="G20:G21"/>
    <mergeCell ref="H20:H21"/>
    <mergeCell ref="I20:I21"/>
    <mergeCell ref="M10:M11"/>
    <mergeCell ref="A12:A18"/>
    <mergeCell ref="C12:C18"/>
    <mergeCell ref="M4:M5"/>
    <mergeCell ref="A6:A7"/>
    <mergeCell ref="C6:C7"/>
    <mergeCell ref="D6:D7"/>
    <mergeCell ref="E6:E7"/>
    <mergeCell ref="F6:F7"/>
    <mergeCell ref="G6:G7"/>
    <mergeCell ref="H6:H7"/>
    <mergeCell ref="I6:I7"/>
    <mergeCell ref="J6:J7"/>
    <mergeCell ref="G4:G5"/>
    <mergeCell ref="H4:H5"/>
    <mergeCell ref="I4:I5"/>
    <mergeCell ref="J4:J5"/>
    <mergeCell ref="K4:K5"/>
    <mergeCell ref="L4:L5"/>
    <mergeCell ref="A4:A5"/>
    <mergeCell ref="B4:B7"/>
    <mergeCell ref="C4:C5"/>
    <mergeCell ref="D4:D5"/>
    <mergeCell ref="E4:E5"/>
    <mergeCell ref="F4:F5"/>
    <mergeCell ref="H2:H3"/>
    <mergeCell ref="I2:I3"/>
    <mergeCell ref="J2:J3"/>
    <mergeCell ref="K2:K3"/>
    <mergeCell ref="L2:L3"/>
    <mergeCell ref="M2:M3"/>
    <mergeCell ref="A2:A3"/>
    <mergeCell ref="B2:B3"/>
    <mergeCell ref="C2:C3"/>
    <mergeCell ref="D2:D3"/>
    <mergeCell ref="E2:E3"/>
    <mergeCell ref="G2:G3"/>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CB8600-8A81-472C-9D0B-9F55F9E416A5}">
  <dimension ref="A2:AN6"/>
  <sheetViews>
    <sheetView topLeftCell="B1" workbookViewId="0">
      <selection activeCell="E3" sqref="E3"/>
    </sheetView>
  </sheetViews>
  <sheetFormatPr defaultRowHeight="15"/>
  <cols>
    <col min="2" max="2" width="38" customWidth="1"/>
    <col min="3" max="3" width="15.140625" customWidth="1"/>
    <col min="4" max="4" width="13.5703125" customWidth="1"/>
    <col min="8" max="8" width="12.28515625" customWidth="1"/>
    <col min="12" max="12" width="15.140625" customWidth="1"/>
    <col min="13" max="13" width="28" customWidth="1"/>
    <col min="14" max="14" width="11.7109375" customWidth="1"/>
    <col min="15" max="15" width="11.140625" customWidth="1"/>
    <col min="17" max="17" width="14" customWidth="1"/>
    <col min="18" max="18" width="14.7109375" customWidth="1"/>
    <col min="19" max="19" width="16.28515625" customWidth="1"/>
    <col min="20" max="20" width="11" customWidth="1"/>
    <col min="21" max="21" width="10.28515625" customWidth="1"/>
    <col min="22" max="22" width="13.140625" customWidth="1"/>
    <col min="24" max="24" width="16.5703125" customWidth="1"/>
    <col min="28" max="28" width="15.7109375" customWidth="1"/>
    <col min="29" max="29" width="15.85546875" customWidth="1"/>
    <col min="30" max="30" width="14.28515625" customWidth="1"/>
    <col min="31" max="31" width="21.85546875" bestFit="1" customWidth="1"/>
    <col min="32" max="32" width="12.5703125" customWidth="1"/>
    <col min="33" max="33" width="14.140625" customWidth="1"/>
    <col min="34" max="35" width="12.7109375" customWidth="1"/>
    <col min="36" max="36" width="14.85546875" customWidth="1"/>
    <col min="37" max="37" width="12.140625" customWidth="1"/>
    <col min="38" max="38" width="13.42578125" customWidth="1"/>
    <col min="39" max="39" width="15" customWidth="1"/>
    <col min="40" max="40" width="14.85546875" customWidth="1"/>
  </cols>
  <sheetData>
    <row r="2" spans="1:40" s="482" customFormat="1" ht="55.5">
      <c r="A2" s="476" t="s">
        <v>259</v>
      </c>
      <c r="B2" s="477" t="s">
        <v>260</v>
      </c>
      <c r="C2" s="478" t="s">
        <v>261</v>
      </c>
      <c r="D2" s="478" t="s">
        <v>262</v>
      </c>
      <c r="E2" s="478" t="s">
        <v>263</v>
      </c>
      <c r="F2" s="478" t="s">
        <v>264</v>
      </c>
      <c r="G2" s="477" t="s">
        <v>265</v>
      </c>
      <c r="H2" s="478" t="s">
        <v>266</v>
      </c>
      <c r="I2" s="478" t="s">
        <v>267</v>
      </c>
      <c r="J2" s="478" t="s">
        <v>268</v>
      </c>
      <c r="K2" s="478" t="s">
        <v>269</v>
      </c>
      <c r="L2" s="478" t="s">
        <v>270</v>
      </c>
      <c r="M2" s="478" t="s">
        <v>271</v>
      </c>
      <c r="N2" s="478" t="s">
        <v>272</v>
      </c>
      <c r="O2" s="478" t="s">
        <v>273</v>
      </c>
      <c r="P2" s="478" t="s">
        <v>274</v>
      </c>
      <c r="Q2" s="478" t="s">
        <v>275</v>
      </c>
      <c r="R2" s="478" t="s">
        <v>276</v>
      </c>
      <c r="S2" s="478" t="s">
        <v>277</v>
      </c>
      <c r="T2" s="478" t="s">
        <v>278</v>
      </c>
      <c r="U2" s="478" t="s">
        <v>279</v>
      </c>
      <c r="V2" s="479" t="s">
        <v>280</v>
      </c>
      <c r="W2" s="479" t="s">
        <v>281</v>
      </c>
      <c r="X2" s="479" t="s">
        <v>282</v>
      </c>
      <c r="Y2" s="479" t="s">
        <v>283</v>
      </c>
      <c r="Z2" s="479" t="s">
        <v>284</v>
      </c>
      <c r="AA2" s="479" t="s">
        <v>285</v>
      </c>
      <c r="AB2" s="480" t="s">
        <v>286</v>
      </c>
      <c r="AC2" s="481" t="s">
        <v>287</v>
      </c>
      <c r="AD2" s="478" t="s">
        <v>288</v>
      </c>
      <c r="AE2" s="478" t="s">
        <v>289</v>
      </c>
      <c r="AF2" s="478" t="s">
        <v>290</v>
      </c>
      <c r="AG2" s="480" t="s">
        <v>291</v>
      </c>
      <c r="AH2" s="481" t="s">
        <v>292</v>
      </c>
      <c r="AI2" s="481" t="s">
        <v>293</v>
      </c>
      <c r="AJ2" s="478" t="s">
        <v>294</v>
      </c>
      <c r="AK2" s="478" t="s">
        <v>295</v>
      </c>
      <c r="AL2" s="478" t="s">
        <v>296</v>
      </c>
      <c r="AM2" s="478" t="s">
        <v>297</v>
      </c>
      <c r="AN2" s="478" t="s">
        <v>298</v>
      </c>
    </row>
    <row r="3" spans="1:40" ht="42">
      <c r="A3" s="472" t="s">
        <v>299</v>
      </c>
      <c r="B3" s="543"/>
      <c r="C3" s="473" t="s">
        <v>299</v>
      </c>
      <c r="D3" s="474">
        <v>17455</v>
      </c>
      <c r="E3" s="474" t="s">
        <v>299</v>
      </c>
      <c r="F3" s="473" t="s">
        <v>299</v>
      </c>
      <c r="G3" s="473" t="s">
        <v>299</v>
      </c>
      <c r="H3" s="474" t="s">
        <v>299</v>
      </c>
      <c r="I3" s="474" t="s">
        <v>299</v>
      </c>
      <c r="J3" s="474" t="s">
        <v>299</v>
      </c>
      <c r="K3" s="474" t="s">
        <v>299</v>
      </c>
      <c r="L3" s="474" t="s">
        <v>299</v>
      </c>
      <c r="M3" s="543" t="s">
        <v>300</v>
      </c>
      <c r="N3" s="474" t="s">
        <v>301</v>
      </c>
      <c r="O3" s="474" t="s">
        <v>302</v>
      </c>
      <c r="P3" s="474" t="s">
        <v>303</v>
      </c>
      <c r="Q3" s="474" t="s">
        <v>299</v>
      </c>
      <c r="R3" s="474" t="s">
        <v>303</v>
      </c>
      <c r="S3" s="474" t="s">
        <v>304</v>
      </c>
      <c r="T3" s="474" t="s">
        <v>299</v>
      </c>
      <c r="U3" s="474" t="s">
        <v>305</v>
      </c>
      <c r="V3" s="473" t="s">
        <v>299</v>
      </c>
      <c r="W3" s="473" t="s">
        <v>299</v>
      </c>
      <c r="X3" s="475" t="s">
        <v>299</v>
      </c>
      <c r="Y3" s="473" t="s">
        <v>299</v>
      </c>
      <c r="Z3" s="473" t="s">
        <v>299</v>
      </c>
      <c r="AA3" s="473" t="s">
        <v>299</v>
      </c>
      <c r="AB3" s="474" t="s">
        <v>299</v>
      </c>
      <c r="AC3" s="474" t="s">
        <v>299</v>
      </c>
      <c r="AD3" s="474" t="s">
        <v>299</v>
      </c>
      <c r="AE3" s="473" t="s">
        <v>306</v>
      </c>
      <c r="AF3" s="474" t="s">
        <v>299</v>
      </c>
      <c r="AG3" s="474" t="s">
        <v>306</v>
      </c>
      <c r="AH3" s="473" t="s">
        <v>299</v>
      </c>
      <c r="AI3" s="474" t="s">
        <v>306</v>
      </c>
      <c r="AJ3" s="474" t="s">
        <v>299</v>
      </c>
      <c r="AK3" s="474" t="s">
        <v>299</v>
      </c>
      <c r="AL3" s="474" t="s">
        <v>307</v>
      </c>
      <c r="AM3" s="474" t="s">
        <v>308</v>
      </c>
      <c r="AN3" s="474" t="s">
        <v>299</v>
      </c>
    </row>
    <row r="6" spans="1:40" ht="43.5">
      <c r="Q6" s="544" t="s">
        <v>309</v>
      </c>
      <c r="X6" s="544" t="s">
        <v>310</v>
      </c>
      <c r="AB6" s="544" t="s">
        <v>311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0D1CB4-4CE6-45EA-B1EB-6B11BA92D258}">
  <dimension ref="A1:AJ13"/>
  <sheetViews>
    <sheetView topLeftCell="I1" workbookViewId="0">
      <selection activeCell="M13" sqref="M13"/>
    </sheetView>
  </sheetViews>
  <sheetFormatPr defaultRowHeight="15"/>
  <cols>
    <col min="1" max="2" width="16.7109375" customWidth="1"/>
    <col min="3" max="3" width="13.85546875" customWidth="1"/>
    <col min="4" max="4" width="13.140625" customWidth="1"/>
    <col min="5" max="5" width="14.5703125" customWidth="1"/>
    <col min="6" max="6" width="13.28515625" customWidth="1"/>
    <col min="7" max="7" width="13.42578125" customWidth="1"/>
    <col min="9" max="9" width="12.42578125" customWidth="1"/>
    <col min="11" max="11" width="12.7109375" customWidth="1"/>
    <col min="12" max="12" width="13.7109375" customWidth="1"/>
    <col min="13" max="13" width="45.85546875" bestFit="1" customWidth="1"/>
    <col min="14" max="15" width="13.42578125" customWidth="1"/>
    <col min="16" max="16" width="25" bestFit="1" customWidth="1"/>
    <col min="17" max="17" width="14.140625" customWidth="1"/>
    <col min="18" max="18" width="15.140625" bestFit="1" customWidth="1"/>
    <col min="19" max="19" width="18" customWidth="1"/>
    <col min="20" max="20" width="17.42578125" customWidth="1"/>
    <col min="23" max="23" width="17" customWidth="1"/>
    <col min="24" max="24" width="13.7109375" customWidth="1"/>
    <col min="25" max="25" width="13.28515625" customWidth="1"/>
    <col min="27" max="27" width="14.7109375" customWidth="1"/>
    <col min="35" max="35" width="11.140625" bestFit="1" customWidth="1"/>
  </cols>
  <sheetData>
    <row r="1" spans="1:36">
      <c r="A1" s="350" t="s">
        <v>299</v>
      </c>
      <c r="B1" s="351"/>
      <c r="C1" s="351" t="s">
        <v>299</v>
      </c>
      <c r="D1" s="351" t="s">
        <v>299</v>
      </c>
      <c r="E1" s="350" t="s">
        <v>299</v>
      </c>
      <c r="F1" s="352" t="s">
        <v>299</v>
      </c>
      <c r="G1" s="352" t="s">
        <v>299</v>
      </c>
      <c r="H1" s="352" t="s">
        <v>299</v>
      </c>
      <c r="I1" s="352" t="s">
        <v>299</v>
      </c>
      <c r="J1" s="352" t="s">
        <v>299</v>
      </c>
      <c r="K1" s="352" t="s">
        <v>299</v>
      </c>
      <c r="L1" s="352" t="s">
        <v>299</v>
      </c>
      <c r="M1" s="352" t="s">
        <v>299</v>
      </c>
      <c r="N1" s="352" t="s">
        <v>299</v>
      </c>
      <c r="O1" s="352" t="s">
        <v>299</v>
      </c>
      <c r="P1" s="353" t="s">
        <v>299</v>
      </c>
      <c r="Q1" s="352" t="s">
        <v>299</v>
      </c>
      <c r="R1" s="352" t="s">
        <v>299</v>
      </c>
      <c r="S1" s="352" t="s">
        <v>299</v>
      </c>
      <c r="T1" s="352" t="s">
        <v>299</v>
      </c>
      <c r="U1" s="352" t="s">
        <v>299</v>
      </c>
      <c r="V1" s="352" t="s">
        <v>299</v>
      </c>
      <c r="W1" s="352" t="s">
        <v>299</v>
      </c>
      <c r="X1" s="352" t="s">
        <v>299</v>
      </c>
      <c r="Y1" s="352" t="s">
        <v>299</v>
      </c>
      <c r="Z1" s="352" t="s">
        <v>299</v>
      </c>
      <c r="AA1" s="352" t="s">
        <v>299</v>
      </c>
      <c r="AB1" s="352" t="s">
        <v>299</v>
      </c>
      <c r="AC1" s="352" t="s">
        <v>299</v>
      </c>
      <c r="AD1" s="352" t="s">
        <v>299</v>
      </c>
      <c r="AE1" s="352" t="s">
        <v>299</v>
      </c>
      <c r="AF1" s="352" t="s">
        <v>299</v>
      </c>
      <c r="AG1" s="352" t="s">
        <v>299</v>
      </c>
      <c r="AH1" s="352" t="s">
        <v>299</v>
      </c>
      <c r="AI1" s="354" t="s">
        <v>299</v>
      </c>
      <c r="AJ1" s="354" t="s">
        <v>299</v>
      </c>
    </row>
    <row r="2" spans="1:36" ht="72.75">
      <c r="A2" s="355" t="s">
        <v>312</v>
      </c>
      <c r="B2" s="359" t="s">
        <v>260</v>
      </c>
      <c r="C2" s="356" t="s">
        <v>261</v>
      </c>
      <c r="D2" s="357" t="s">
        <v>262</v>
      </c>
      <c r="E2" s="358" t="s">
        <v>263</v>
      </c>
      <c r="F2" s="356" t="s">
        <v>313</v>
      </c>
      <c r="G2" s="356" t="s">
        <v>264</v>
      </c>
      <c r="H2" s="359" t="s">
        <v>265</v>
      </c>
      <c r="I2" s="356" t="s">
        <v>314</v>
      </c>
      <c r="J2" s="356" t="s">
        <v>268</v>
      </c>
      <c r="K2" s="356" t="s">
        <v>314</v>
      </c>
      <c r="L2" s="356" t="s">
        <v>315</v>
      </c>
      <c r="M2" s="356" t="s">
        <v>271</v>
      </c>
      <c r="N2" s="356" t="s">
        <v>316</v>
      </c>
      <c r="O2" s="356" t="s">
        <v>273</v>
      </c>
      <c r="P2" s="360" t="s">
        <v>317</v>
      </c>
      <c r="Q2" s="360" t="s">
        <v>283</v>
      </c>
      <c r="R2" s="360" t="s">
        <v>284</v>
      </c>
      <c r="S2" s="360" t="s">
        <v>286</v>
      </c>
      <c r="T2" s="356" t="s">
        <v>287</v>
      </c>
      <c r="U2" s="356" t="s">
        <v>318</v>
      </c>
      <c r="V2" s="356" t="s">
        <v>319</v>
      </c>
      <c r="W2" s="356" t="s">
        <v>320</v>
      </c>
      <c r="X2" s="356" t="s">
        <v>321</v>
      </c>
      <c r="Y2" s="356" t="s">
        <v>322</v>
      </c>
      <c r="Z2" s="361" t="s">
        <v>323</v>
      </c>
      <c r="AA2" s="361" t="s">
        <v>324</v>
      </c>
      <c r="AB2" s="360" t="s">
        <v>325</v>
      </c>
      <c r="AC2" s="360" t="s">
        <v>326</v>
      </c>
      <c r="AD2" s="360" t="s">
        <v>327</v>
      </c>
      <c r="AE2" s="360" t="s">
        <v>328</v>
      </c>
      <c r="AF2" s="360" t="s">
        <v>296</v>
      </c>
      <c r="AG2" s="360" t="s">
        <v>297</v>
      </c>
      <c r="AH2" s="356" t="s">
        <v>298</v>
      </c>
      <c r="AI2" s="362" t="s">
        <v>329</v>
      </c>
      <c r="AJ2" s="363"/>
    </row>
    <row r="3" spans="1:36" ht="41.25">
      <c r="A3" s="364" t="s">
        <v>330</v>
      </c>
      <c r="B3" s="365"/>
      <c r="C3" s="365" t="s">
        <v>331</v>
      </c>
      <c r="D3" s="366">
        <v>16242</v>
      </c>
      <c r="E3" s="365" t="s">
        <v>332</v>
      </c>
      <c r="F3" s="366" t="s">
        <v>299</v>
      </c>
      <c r="G3" s="365" t="s">
        <v>333</v>
      </c>
      <c r="H3" s="366" t="s">
        <v>334</v>
      </c>
      <c r="I3" s="367">
        <v>45730</v>
      </c>
      <c r="J3" s="368">
        <v>0.33333333333333331</v>
      </c>
      <c r="K3" s="368">
        <v>0.5</v>
      </c>
      <c r="L3" s="366">
        <v>4</v>
      </c>
      <c r="M3" s="366" t="s">
        <v>335</v>
      </c>
      <c r="N3" s="366" t="s">
        <v>336</v>
      </c>
      <c r="O3" s="365" t="s">
        <v>337</v>
      </c>
      <c r="P3" s="369" t="s">
        <v>338</v>
      </c>
      <c r="Q3" s="370" t="s">
        <v>339</v>
      </c>
      <c r="R3" s="371" t="s">
        <v>340</v>
      </c>
      <c r="S3" s="372" t="s">
        <v>299</v>
      </c>
      <c r="T3" s="366" t="s">
        <v>299</v>
      </c>
      <c r="U3" s="366" t="s">
        <v>299</v>
      </c>
      <c r="V3" s="366" t="s">
        <v>299</v>
      </c>
      <c r="W3" s="366" t="s">
        <v>299</v>
      </c>
      <c r="X3" s="366" t="s">
        <v>299</v>
      </c>
      <c r="Y3" s="366" t="s">
        <v>299</v>
      </c>
      <c r="Z3" s="366" t="s">
        <v>299</v>
      </c>
      <c r="AA3" s="366" t="s">
        <v>299</v>
      </c>
      <c r="AB3" s="373" t="s">
        <v>299</v>
      </c>
      <c r="AC3" s="373" t="s">
        <v>299</v>
      </c>
      <c r="AD3" s="373" t="s">
        <v>299</v>
      </c>
      <c r="AE3" s="373" t="s">
        <v>299</v>
      </c>
      <c r="AF3" s="373" t="s">
        <v>299</v>
      </c>
      <c r="AG3" s="373" t="s">
        <v>299</v>
      </c>
      <c r="AH3" s="373" t="s">
        <v>299</v>
      </c>
      <c r="AI3" s="373" t="s">
        <v>299</v>
      </c>
      <c r="AJ3" s="374"/>
    </row>
    <row r="4" spans="1:36">
      <c r="M4" t="s">
        <v>341</v>
      </c>
      <c r="N4" t="s">
        <v>342</v>
      </c>
    </row>
    <row r="5" spans="1:36">
      <c r="M5" t="s">
        <v>343</v>
      </c>
      <c r="N5" t="s">
        <v>342</v>
      </c>
    </row>
    <row r="6" spans="1:36">
      <c r="M6" t="s">
        <v>344</v>
      </c>
      <c r="N6" t="s">
        <v>345</v>
      </c>
    </row>
    <row r="7" spans="1:36">
      <c r="M7" t="s">
        <v>346</v>
      </c>
      <c r="N7" t="s">
        <v>347</v>
      </c>
    </row>
    <row r="8" spans="1:36">
      <c r="M8" t="s">
        <v>348</v>
      </c>
      <c r="N8" t="s">
        <v>347</v>
      </c>
    </row>
    <row r="9" spans="1:36">
      <c r="M9" t="s">
        <v>349</v>
      </c>
      <c r="N9" t="s">
        <v>336</v>
      </c>
    </row>
    <row r="10" spans="1:36">
      <c r="M10" t="s">
        <v>350</v>
      </c>
    </row>
    <row r="11" spans="1:36">
      <c r="M11" t="s">
        <v>351</v>
      </c>
    </row>
    <row r="12" spans="1:36">
      <c r="M12" t="s">
        <v>352</v>
      </c>
    </row>
    <row r="13" spans="1:36">
      <c r="M13" t="s">
        <v>353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E7B624-8474-4092-AB45-EAD2E9A1C174}">
  <dimension ref="A1:M49"/>
  <sheetViews>
    <sheetView workbookViewId="0">
      <selection activeCell="P13" sqref="P13"/>
    </sheetView>
  </sheetViews>
  <sheetFormatPr defaultRowHeight="15"/>
  <cols>
    <col min="2" max="2" width="24.85546875" bestFit="1" customWidth="1"/>
  </cols>
  <sheetData>
    <row r="1" spans="1:13">
      <c r="A1" s="282"/>
      <c r="B1" s="282"/>
      <c r="E1" s="282"/>
      <c r="F1" s="282"/>
      <c r="G1" s="282"/>
      <c r="H1" s="282"/>
      <c r="I1" s="282"/>
      <c r="J1" s="282"/>
      <c r="K1" s="282"/>
      <c r="L1" s="282"/>
      <c r="M1" s="282"/>
    </row>
    <row r="2" spans="1:13">
      <c r="A2" s="282"/>
      <c r="B2" s="920" t="s">
        <v>299</v>
      </c>
      <c r="C2" s="921"/>
      <c r="D2" s="922"/>
      <c r="G2" s="923" t="s">
        <v>354</v>
      </c>
      <c r="H2" s="924"/>
      <c r="I2" s="924"/>
      <c r="J2" s="924"/>
      <c r="K2" s="925"/>
      <c r="L2" s="921" t="s">
        <v>355</v>
      </c>
      <c r="M2" s="922"/>
    </row>
    <row r="3" spans="1:13">
      <c r="B3" s="926"/>
      <c r="C3" s="927"/>
      <c r="D3" s="928"/>
      <c r="G3" s="929"/>
      <c r="H3" s="930"/>
      <c r="I3" s="930"/>
      <c r="J3" s="930"/>
      <c r="K3" s="931"/>
      <c r="L3" s="927"/>
      <c r="M3" s="928"/>
    </row>
    <row r="4" spans="1:13">
      <c r="B4" s="926"/>
      <c r="C4" s="927"/>
      <c r="D4" s="928"/>
      <c r="G4" s="929"/>
      <c r="H4" s="930"/>
      <c r="I4" s="930"/>
      <c r="J4" s="930"/>
      <c r="K4" s="931"/>
      <c r="L4" s="927"/>
      <c r="M4" s="928"/>
    </row>
    <row r="5" spans="1:13">
      <c r="B5" s="932"/>
      <c r="C5" s="933"/>
      <c r="D5" s="934"/>
      <c r="G5" s="929"/>
      <c r="H5" s="930"/>
      <c r="I5" s="930"/>
      <c r="J5" s="930"/>
      <c r="K5" s="931"/>
      <c r="L5" s="927"/>
      <c r="M5" s="928"/>
    </row>
    <row r="6" spans="1:13">
      <c r="A6" s="282"/>
      <c r="G6" s="929"/>
      <c r="H6" s="930"/>
      <c r="I6" s="930"/>
      <c r="J6" s="930"/>
      <c r="K6" s="931"/>
      <c r="L6" s="921" t="s">
        <v>356</v>
      </c>
      <c r="M6" s="922"/>
    </row>
    <row r="7" spans="1:13">
      <c r="A7" s="282"/>
      <c r="G7" s="929"/>
      <c r="H7" s="930"/>
      <c r="I7" s="930"/>
      <c r="J7" s="930"/>
      <c r="K7" s="931"/>
      <c r="L7" s="921" t="s">
        <v>357</v>
      </c>
      <c r="M7" s="922"/>
    </row>
    <row r="8" spans="1:13">
      <c r="A8" s="282"/>
      <c r="G8" s="935"/>
      <c r="H8" s="936"/>
      <c r="I8" s="936"/>
      <c r="J8" s="936"/>
      <c r="K8" s="937"/>
      <c r="L8" s="938" t="s">
        <v>358</v>
      </c>
      <c r="M8" s="939"/>
    </row>
    <row r="9" spans="1:13">
      <c r="A9" s="282"/>
      <c r="B9" s="483"/>
      <c r="E9" s="282"/>
      <c r="F9" s="282"/>
      <c r="G9" s="282"/>
      <c r="H9" s="282"/>
      <c r="I9" s="282"/>
      <c r="J9" s="282"/>
      <c r="K9" s="282"/>
      <c r="L9" s="282"/>
      <c r="M9" s="282"/>
    </row>
    <row r="10" spans="1:13">
      <c r="A10" s="282"/>
      <c r="B10" s="484" t="s">
        <v>359</v>
      </c>
      <c r="C10" s="485"/>
      <c r="D10" s="486"/>
      <c r="E10" s="487" t="s">
        <v>299</v>
      </c>
      <c r="F10" s="487" t="s">
        <v>299</v>
      </c>
      <c r="G10" s="487" t="s">
        <v>299</v>
      </c>
      <c r="H10" s="282"/>
      <c r="I10" s="282"/>
      <c r="J10" s="282"/>
      <c r="K10" s="282"/>
      <c r="L10" s="282"/>
      <c r="M10" s="282"/>
    </row>
    <row r="11" spans="1:13" ht="15" customHeight="1">
      <c r="A11" s="282"/>
      <c r="B11" s="488" t="s">
        <v>360</v>
      </c>
      <c r="C11" s="489"/>
      <c r="D11" s="490"/>
      <c r="E11" s="731" t="s">
        <v>299</v>
      </c>
      <c r="F11" s="731"/>
      <c r="G11" s="732"/>
      <c r="H11" s="282"/>
      <c r="I11" s="282"/>
      <c r="J11" s="282"/>
      <c r="K11" s="282"/>
      <c r="L11" s="282"/>
      <c r="M11" s="282"/>
    </row>
    <row r="12" spans="1:13">
      <c r="A12" s="282"/>
      <c r="B12" s="483"/>
      <c r="E12" s="282"/>
      <c r="F12" s="282"/>
      <c r="G12" s="282"/>
      <c r="H12" s="282"/>
      <c r="I12" s="282"/>
      <c r="J12" s="282"/>
      <c r="K12" s="282"/>
      <c r="L12" s="282"/>
      <c r="M12" s="282"/>
    </row>
    <row r="13" spans="1:13">
      <c r="A13" s="282"/>
      <c r="B13" s="748" t="s">
        <v>361</v>
      </c>
      <c r="C13" s="749"/>
      <c r="D13" s="749"/>
      <c r="E13" s="750"/>
      <c r="F13" s="491" t="s">
        <v>299</v>
      </c>
      <c r="G13" s="492" t="s">
        <v>362</v>
      </c>
      <c r="H13" s="491" t="s">
        <v>299</v>
      </c>
      <c r="I13" s="282"/>
      <c r="J13" s="282"/>
      <c r="K13" s="282"/>
      <c r="L13" s="282"/>
      <c r="M13" s="282"/>
    </row>
    <row r="14" spans="1:13">
      <c r="A14" s="282"/>
      <c r="B14" s="493" t="s">
        <v>284</v>
      </c>
      <c r="C14" s="494"/>
      <c r="D14" s="495"/>
      <c r="E14" s="742" t="s">
        <v>299</v>
      </c>
      <c r="F14" s="742"/>
      <c r="G14" s="742"/>
      <c r="H14" s="743"/>
      <c r="I14" s="282"/>
      <c r="J14" s="282"/>
      <c r="K14" s="282"/>
      <c r="L14" s="282"/>
      <c r="M14" s="282"/>
    </row>
    <row r="15" spans="1:13" ht="15" customHeight="1">
      <c r="A15" s="282"/>
      <c r="B15" s="496" t="s">
        <v>363</v>
      </c>
      <c r="C15" s="494"/>
      <c r="D15" s="497"/>
      <c r="E15" s="734" t="s">
        <v>299</v>
      </c>
      <c r="F15" s="735"/>
      <c r="G15" s="498" t="s">
        <v>364</v>
      </c>
      <c r="H15" s="499" t="s">
        <v>299</v>
      </c>
      <c r="I15" s="282"/>
      <c r="J15" s="282"/>
      <c r="K15" s="282"/>
      <c r="L15" s="282"/>
      <c r="M15" s="282"/>
    </row>
    <row r="16" spans="1:13">
      <c r="A16" s="282"/>
      <c r="B16" s="500"/>
      <c r="E16" s="500"/>
      <c r="F16" s="500"/>
      <c r="G16" s="500"/>
      <c r="H16" s="500"/>
      <c r="I16" s="282"/>
      <c r="J16" s="282"/>
      <c r="K16" s="282"/>
      <c r="L16" s="282"/>
      <c r="M16" s="282"/>
    </row>
    <row r="17" spans="1:13">
      <c r="A17" s="282"/>
      <c r="B17" s="483"/>
      <c r="E17" s="282"/>
      <c r="F17" s="282"/>
      <c r="G17" s="282"/>
      <c r="H17" s="282"/>
      <c r="I17" s="282"/>
      <c r="J17" s="282"/>
      <c r="K17" s="282"/>
      <c r="L17" s="282"/>
      <c r="M17" s="282"/>
    </row>
    <row r="18" spans="1:13" ht="15" customHeight="1">
      <c r="A18" s="282"/>
      <c r="B18" s="484" t="s">
        <v>365</v>
      </c>
      <c r="C18" s="485"/>
      <c r="D18" s="501"/>
      <c r="E18" s="749" t="s">
        <v>366</v>
      </c>
      <c r="F18" s="750"/>
      <c r="G18" s="502" t="s">
        <v>367</v>
      </c>
      <c r="H18" s="502" t="s">
        <v>314</v>
      </c>
      <c r="I18" s="502" t="s">
        <v>264</v>
      </c>
      <c r="J18" s="492" t="s">
        <v>368</v>
      </c>
      <c r="K18" s="492" t="s">
        <v>369</v>
      </c>
      <c r="L18" s="492" t="s">
        <v>28</v>
      </c>
      <c r="M18" s="492" t="s">
        <v>370</v>
      </c>
    </row>
    <row r="19" spans="1:13">
      <c r="A19" s="282"/>
      <c r="B19" s="503" t="s">
        <v>299</v>
      </c>
      <c r="C19" s="504"/>
      <c r="D19" s="505"/>
      <c r="E19" s="731" t="s">
        <v>299</v>
      </c>
      <c r="F19" s="732"/>
      <c r="G19" s="506" t="s">
        <v>299</v>
      </c>
      <c r="H19" s="506" t="s">
        <v>299</v>
      </c>
      <c r="I19" s="506" t="s">
        <v>299</v>
      </c>
      <c r="J19" s="507" t="s">
        <v>299</v>
      </c>
      <c r="K19" s="507" t="s">
        <v>299</v>
      </c>
      <c r="L19" s="507" t="s">
        <v>299</v>
      </c>
      <c r="M19" s="507">
        <v>0</v>
      </c>
    </row>
    <row r="20" spans="1:13">
      <c r="A20" s="282"/>
      <c r="B20" s="503" t="s">
        <v>299</v>
      </c>
      <c r="C20" s="504"/>
      <c r="D20" s="505"/>
      <c r="E20" s="731" t="s">
        <v>299</v>
      </c>
      <c r="F20" s="732"/>
      <c r="G20" s="506" t="s">
        <v>299</v>
      </c>
      <c r="H20" s="506" t="s">
        <v>299</v>
      </c>
      <c r="I20" s="506" t="s">
        <v>299</v>
      </c>
      <c r="J20" s="507" t="s">
        <v>299</v>
      </c>
      <c r="K20" s="507" t="s">
        <v>299</v>
      </c>
      <c r="L20" s="507" t="s">
        <v>299</v>
      </c>
      <c r="M20" s="507" t="s">
        <v>299</v>
      </c>
    </row>
    <row r="21" spans="1:13">
      <c r="A21" s="282"/>
      <c r="B21" s="503" t="s">
        <v>299</v>
      </c>
      <c r="C21" s="504"/>
      <c r="D21" s="505"/>
      <c r="E21" s="731" t="s">
        <v>299</v>
      </c>
      <c r="F21" s="732"/>
      <c r="G21" s="506" t="s">
        <v>299</v>
      </c>
      <c r="H21" s="506" t="s">
        <v>299</v>
      </c>
      <c r="I21" s="506" t="s">
        <v>299</v>
      </c>
      <c r="J21" s="507" t="s">
        <v>299</v>
      </c>
      <c r="K21" s="507" t="s">
        <v>299</v>
      </c>
      <c r="L21" s="507" t="s">
        <v>299</v>
      </c>
      <c r="M21" s="507" t="s">
        <v>299</v>
      </c>
    </row>
    <row r="22" spans="1:13">
      <c r="A22" s="282"/>
      <c r="B22" s="503" t="s">
        <v>299</v>
      </c>
      <c r="C22" s="504"/>
      <c r="D22" s="505"/>
      <c r="E22" s="731" t="s">
        <v>299</v>
      </c>
      <c r="F22" s="732"/>
      <c r="G22" s="506" t="s">
        <v>299</v>
      </c>
      <c r="H22" s="506" t="s">
        <v>299</v>
      </c>
      <c r="I22" s="506" t="s">
        <v>299</v>
      </c>
      <c r="J22" s="507" t="s">
        <v>299</v>
      </c>
      <c r="K22" s="507" t="s">
        <v>299</v>
      </c>
      <c r="L22" s="507" t="s">
        <v>299</v>
      </c>
      <c r="M22" s="507" t="s">
        <v>299</v>
      </c>
    </row>
    <row r="23" spans="1:13">
      <c r="A23" s="282"/>
      <c r="B23" s="503" t="s">
        <v>299</v>
      </c>
      <c r="C23" s="504"/>
      <c r="D23" s="505"/>
      <c r="E23" s="731" t="s">
        <v>299</v>
      </c>
      <c r="F23" s="732"/>
      <c r="G23" s="506" t="s">
        <v>299</v>
      </c>
      <c r="H23" s="506" t="s">
        <v>299</v>
      </c>
      <c r="I23" s="506" t="s">
        <v>299</v>
      </c>
      <c r="J23" s="507" t="s">
        <v>299</v>
      </c>
      <c r="K23" s="507" t="s">
        <v>299</v>
      </c>
      <c r="L23" s="507" t="s">
        <v>299</v>
      </c>
      <c r="M23" s="507" t="s">
        <v>299</v>
      </c>
    </row>
    <row r="24" spans="1:13">
      <c r="A24" s="282"/>
      <c r="B24" s="503" t="s">
        <v>299</v>
      </c>
      <c r="C24" s="504"/>
      <c r="D24" s="505"/>
      <c r="E24" s="731" t="s">
        <v>299</v>
      </c>
      <c r="F24" s="732"/>
      <c r="G24" s="506" t="s">
        <v>299</v>
      </c>
      <c r="H24" s="506" t="s">
        <v>299</v>
      </c>
      <c r="I24" s="506" t="s">
        <v>299</v>
      </c>
      <c r="J24" s="507" t="s">
        <v>299</v>
      </c>
      <c r="K24" s="507" t="s">
        <v>299</v>
      </c>
      <c r="L24" s="507" t="s">
        <v>299</v>
      </c>
      <c r="M24" s="507" t="s">
        <v>299</v>
      </c>
    </row>
    <row r="25" spans="1:13">
      <c r="A25" s="282"/>
      <c r="B25" s="503" t="s">
        <v>299</v>
      </c>
      <c r="C25" s="504"/>
      <c r="D25" s="505"/>
      <c r="E25" s="731" t="s">
        <v>299</v>
      </c>
      <c r="F25" s="732"/>
      <c r="G25" s="506" t="s">
        <v>299</v>
      </c>
      <c r="H25" s="506" t="s">
        <v>299</v>
      </c>
      <c r="I25" s="506" t="s">
        <v>299</v>
      </c>
      <c r="J25" s="507" t="s">
        <v>299</v>
      </c>
      <c r="K25" s="507" t="s">
        <v>299</v>
      </c>
      <c r="L25" s="507" t="s">
        <v>299</v>
      </c>
      <c r="M25" s="507" t="s">
        <v>299</v>
      </c>
    </row>
    <row r="26" spans="1:13">
      <c r="A26" s="282"/>
      <c r="B26" s="503" t="s">
        <v>299</v>
      </c>
      <c r="C26" s="504"/>
      <c r="D26" s="505"/>
      <c r="E26" s="731" t="s">
        <v>299</v>
      </c>
      <c r="F26" s="732"/>
      <c r="G26" s="506" t="s">
        <v>299</v>
      </c>
      <c r="H26" s="506" t="s">
        <v>299</v>
      </c>
      <c r="I26" s="506" t="s">
        <v>299</v>
      </c>
      <c r="J26" s="507" t="s">
        <v>299</v>
      </c>
      <c r="K26" s="507" t="s">
        <v>299</v>
      </c>
      <c r="L26" s="507" t="s">
        <v>299</v>
      </c>
      <c r="M26" s="507" t="s">
        <v>299</v>
      </c>
    </row>
    <row r="27" spans="1:13">
      <c r="A27" s="282"/>
      <c r="B27" s="508" t="s">
        <v>299</v>
      </c>
      <c r="C27" s="509"/>
      <c r="D27" s="510"/>
      <c r="E27" s="742" t="s">
        <v>299</v>
      </c>
      <c r="F27" s="743"/>
      <c r="G27" s="499" t="s">
        <v>299</v>
      </c>
      <c r="H27" s="499" t="s">
        <v>299</v>
      </c>
      <c r="I27" s="499" t="s">
        <v>299</v>
      </c>
      <c r="J27" s="511" t="s">
        <v>299</v>
      </c>
      <c r="K27" s="511" t="s">
        <v>299</v>
      </c>
      <c r="L27" s="511" t="s">
        <v>299</v>
      </c>
      <c r="M27" s="511" t="s">
        <v>299</v>
      </c>
    </row>
    <row r="28" spans="1:13">
      <c r="A28" s="282"/>
      <c r="B28" s="744" t="s">
        <v>371</v>
      </c>
      <c r="C28" s="745"/>
      <c r="D28" s="745"/>
      <c r="E28" s="745"/>
      <c r="F28" s="745"/>
      <c r="G28" s="745"/>
      <c r="H28" s="745"/>
      <c r="I28" s="745"/>
      <c r="J28" s="745"/>
      <c r="K28" s="745"/>
      <c r="L28" s="746"/>
      <c r="M28" s="512" t="s">
        <v>299</v>
      </c>
    </row>
    <row r="29" spans="1:13">
      <c r="A29" s="282"/>
      <c r="B29" s="747" t="s">
        <v>299</v>
      </c>
      <c r="C29" s="747"/>
      <c r="D29" s="747"/>
      <c r="E29" s="747"/>
      <c r="F29" s="747" t="s">
        <v>299</v>
      </c>
      <c r="G29" s="747"/>
      <c r="H29" s="747"/>
      <c r="I29" s="747"/>
      <c r="J29" s="513" t="s">
        <v>299</v>
      </c>
      <c r="K29" s="513" t="s">
        <v>299</v>
      </c>
      <c r="L29" s="513" t="s">
        <v>299</v>
      </c>
      <c r="M29" s="513" t="s">
        <v>299</v>
      </c>
    </row>
    <row r="30" spans="1:13">
      <c r="A30" s="282"/>
      <c r="B30" s="737" t="s">
        <v>299</v>
      </c>
      <c r="C30" s="738"/>
      <c r="D30" s="738"/>
      <c r="E30" s="739"/>
      <c r="F30" s="740" t="s">
        <v>296</v>
      </c>
      <c r="G30" s="740"/>
      <c r="H30" s="740"/>
      <c r="I30" s="740"/>
      <c r="J30" s="741"/>
      <c r="K30" s="514" t="s">
        <v>299</v>
      </c>
      <c r="L30" s="514" t="s">
        <v>299</v>
      </c>
      <c r="M30" s="514" t="s">
        <v>299</v>
      </c>
    </row>
    <row r="31" spans="1:13">
      <c r="A31" s="282"/>
      <c r="B31" s="733" t="s">
        <v>299</v>
      </c>
      <c r="C31" s="734"/>
      <c r="D31" s="734"/>
      <c r="E31" s="735"/>
      <c r="F31" s="734" t="s">
        <v>299</v>
      </c>
      <c r="G31" s="734"/>
      <c r="H31" s="734"/>
      <c r="I31" s="734"/>
      <c r="J31" s="735"/>
      <c r="K31" s="499" t="s">
        <v>299</v>
      </c>
      <c r="L31" s="499" t="s">
        <v>299</v>
      </c>
      <c r="M31" s="499" t="s">
        <v>299</v>
      </c>
    </row>
    <row r="32" spans="1:13">
      <c r="A32" s="282"/>
      <c r="B32" s="733" t="s">
        <v>299</v>
      </c>
      <c r="C32" s="734"/>
      <c r="D32" s="734"/>
      <c r="E32" s="735"/>
      <c r="F32" s="734" t="s">
        <v>299</v>
      </c>
      <c r="G32" s="734"/>
      <c r="H32" s="734"/>
      <c r="I32" s="734"/>
      <c r="J32" s="735"/>
      <c r="K32" s="499" t="s">
        <v>299</v>
      </c>
      <c r="L32" s="499" t="s">
        <v>299</v>
      </c>
      <c r="M32" s="499" t="s">
        <v>299</v>
      </c>
    </row>
    <row r="33" spans="1:13">
      <c r="A33" s="282"/>
      <c r="B33" s="736" t="s">
        <v>299</v>
      </c>
      <c r="C33" s="736"/>
      <c r="D33" s="736"/>
      <c r="E33" s="736"/>
      <c r="F33" s="736" t="s">
        <v>299</v>
      </c>
      <c r="G33" s="736"/>
      <c r="H33" s="736"/>
      <c r="I33" s="736"/>
      <c r="J33" s="736"/>
      <c r="K33" s="515"/>
      <c r="L33" s="515"/>
      <c r="M33" s="515"/>
    </row>
    <row r="34" spans="1:13">
      <c r="A34" s="282"/>
      <c r="B34" s="725" t="s">
        <v>299</v>
      </c>
      <c r="C34" s="726"/>
      <c r="D34" s="726"/>
      <c r="E34" s="727"/>
      <c r="F34" s="728" t="s">
        <v>372</v>
      </c>
      <c r="G34" s="728"/>
      <c r="H34" s="728"/>
      <c r="I34" s="728"/>
      <c r="J34" s="729"/>
      <c r="K34" s="516" t="s">
        <v>299</v>
      </c>
      <c r="L34" s="516" t="s">
        <v>299</v>
      </c>
      <c r="M34" s="516" t="s">
        <v>299</v>
      </c>
    </row>
    <row r="35" spans="1:13">
      <c r="A35" s="282"/>
      <c r="B35" s="730" t="s">
        <v>299</v>
      </c>
      <c r="C35" s="731"/>
      <c r="D35" s="731"/>
      <c r="E35" s="732"/>
      <c r="F35" s="731" t="s">
        <v>299</v>
      </c>
      <c r="G35" s="731"/>
      <c r="H35" s="731"/>
      <c r="I35" s="731"/>
      <c r="J35" s="732"/>
      <c r="K35" s="507" t="s">
        <v>299</v>
      </c>
      <c r="L35" s="507" t="s">
        <v>299</v>
      </c>
      <c r="M35" s="507" t="s">
        <v>299</v>
      </c>
    </row>
    <row r="36" spans="1:13">
      <c r="A36" s="282"/>
      <c r="B36" s="500"/>
      <c r="E36" s="500"/>
      <c r="F36" s="500"/>
      <c r="G36" s="500"/>
      <c r="H36" s="500"/>
      <c r="I36" s="500"/>
      <c r="J36" s="500"/>
      <c r="K36" s="500"/>
      <c r="L36" s="500"/>
      <c r="M36" s="500"/>
    </row>
    <row r="37" spans="1:13">
      <c r="A37" s="282"/>
      <c r="B37" s="483"/>
      <c r="E37" s="282"/>
      <c r="F37" s="282"/>
      <c r="G37" s="282"/>
      <c r="H37" s="282"/>
      <c r="I37" s="282"/>
      <c r="J37" s="282"/>
      <c r="K37" s="282"/>
      <c r="L37" s="282"/>
      <c r="M37" s="282"/>
    </row>
    <row r="38" spans="1:13">
      <c r="A38" s="282"/>
      <c r="B38" s="483"/>
      <c r="E38" s="282"/>
      <c r="F38" s="282"/>
      <c r="G38" s="282"/>
      <c r="H38" s="282"/>
      <c r="I38" s="282"/>
      <c r="J38" s="282"/>
      <c r="K38" s="282"/>
      <c r="L38" s="282"/>
      <c r="M38" s="282"/>
    </row>
    <row r="39" spans="1:13">
      <c r="A39" s="282"/>
      <c r="B39" s="483"/>
      <c r="E39" s="282"/>
      <c r="F39" s="282"/>
      <c r="G39" s="282"/>
      <c r="H39" s="282"/>
      <c r="I39" s="282"/>
      <c r="J39" s="282"/>
      <c r="K39" s="282"/>
      <c r="L39" s="282"/>
      <c r="M39" s="282"/>
    </row>
    <row r="40" spans="1:13">
      <c r="A40" s="282"/>
      <c r="B40" s="483" t="s">
        <v>373</v>
      </c>
      <c r="E40" s="483"/>
      <c r="F40" s="282"/>
      <c r="G40" s="282"/>
      <c r="H40" s="282"/>
      <c r="I40" s="282"/>
      <c r="J40" s="282"/>
      <c r="K40" s="282"/>
      <c r="L40" s="282"/>
      <c r="M40" s="282"/>
    </row>
    <row r="41" spans="1:13">
      <c r="A41" s="282"/>
      <c r="B41" s="517" t="s">
        <v>374</v>
      </c>
      <c r="E41" s="517"/>
      <c r="F41" s="282"/>
      <c r="G41" s="282"/>
      <c r="H41" s="282"/>
      <c r="I41" s="282"/>
      <c r="J41" s="282"/>
      <c r="K41" s="282"/>
      <c r="L41" s="282"/>
      <c r="M41" s="282"/>
    </row>
    <row r="42" spans="1:13">
      <c r="A42" s="282"/>
      <c r="B42" s="517" t="s">
        <v>375</v>
      </c>
      <c r="E42" s="282"/>
      <c r="F42" s="282"/>
      <c r="G42" s="282"/>
      <c r="H42" s="282"/>
      <c r="I42" s="282"/>
      <c r="J42" s="282"/>
      <c r="K42" s="282"/>
      <c r="L42" s="282"/>
      <c r="M42" s="282"/>
    </row>
    <row r="43" spans="1:13">
      <c r="A43" s="282"/>
      <c r="B43" s="517"/>
      <c r="E43" s="282"/>
      <c r="F43" s="282"/>
      <c r="G43" s="282"/>
      <c r="H43" s="282"/>
      <c r="I43" s="282"/>
      <c r="J43" s="282"/>
      <c r="K43" s="282"/>
      <c r="L43" s="282"/>
      <c r="M43" s="282"/>
    </row>
    <row r="44" spans="1:13">
      <c r="A44" s="282"/>
      <c r="B44" s="517"/>
      <c r="E44" s="282"/>
      <c r="F44" s="282"/>
      <c r="G44" s="282"/>
      <c r="H44" s="282"/>
      <c r="I44" s="282"/>
      <c r="J44" s="282"/>
      <c r="K44" s="282"/>
      <c r="L44" s="282"/>
      <c r="M44" s="282"/>
    </row>
    <row r="45" spans="1:13">
      <c r="A45" s="282"/>
      <c r="B45" s="940" t="s">
        <v>299</v>
      </c>
      <c r="C45" s="941"/>
      <c r="D45" s="941"/>
      <c r="E45" s="942"/>
      <c r="F45" s="941" t="s">
        <v>376</v>
      </c>
      <c r="G45" s="941"/>
      <c r="H45" s="942"/>
      <c r="I45" s="941" t="s">
        <v>377</v>
      </c>
      <c r="J45" s="942"/>
      <c r="K45" s="941" t="s">
        <v>378</v>
      </c>
      <c r="L45" s="941"/>
      <c r="M45" s="942"/>
    </row>
    <row r="46" spans="1:13">
      <c r="A46" s="282"/>
      <c r="B46" s="940" t="s">
        <v>379</v>
      </c>
      <c r="C46" s="941"/>
      <c r="D46" s="941"/>
      <c r="E46" s="942"/>
      <c r="F46" s="941" t="s">
        <v>299</v>
      </c>
      <c r="G46" s="941"/>
      <c r="H46" s="942"/>
      <c r="I46" s="941" t="s">
        <v>380</v>
      </c>
      <c r="J46" s="942"/>
      <c r="K46" s="941" t="s">
        <v>299</v>
      </c>
      <c r="L46" s="941"/>
      <c r="M46" s="942"/>
    </row>
    <row r="47" spans="1:13">
      <c r="A47" s="282"/>
      <c r="B47" s="940" t="s">
        <v>381</v>
      </c>
      <c r="C47" s="941"/>
      <c r="D47" s="941"/>
      <c r="E47" s="942"/>
      <c r="F47" s="941" t="s">
        <v>299</v>
      </c>
      <c r="G47" s="941"/>
      <c r="H47" s="942"/>
      <c r="I47" s="941" t="s">
        <v>382</v>
      </c>
      <c r="J47" s="942"/>
      <c r="K47" s="941" t="s">
        <v>299</v>
      </c>
      <c r="L47" s="941"/>
      <c r="M47" s="942"/>
    </row>
    <row r="48" spans="1:13">
      <c r="A48" s="282"/>
      <c r="B48" s="940" t="s">
        <v>383</v>
      </c>
      <c r="C48" s="941"/>
      <c r="D48" s="941"/>
      <c r="E48" s="942"/>
      <c r="F48" s="941" t="s">
        <v>299</v>
      </c>
      <c r="G48" s="941"/>
      <c r="H48" s="942"/>
      <c r="I48" s="941" t="s">
        <v>384</v>
      </c>
      <c r="J48" s="942"/>
      <c r="K48" s="941" t="s">
        <v>299</v>
      </c>
      <c r="L48" s="941"/>
      <c r="M48" s="942"/>
    </row>
    <row r="49" spans="1:13">
      <c r="A49" s="282"/>
      <c r="B49" s="722" t="s">
        <v>385</v>
      </c>
      <c r="C49" s="723"/>
      <c r="D49" s="723"/>
      <c r="E49" s="723"/>
      <c r="F49" s="723"/>
      <c r="G49" s="723"/>
      <c r="H49" s="723"/>
      <c r="I49" s="723"/>
      <c r="J49" s="723"/>
      <c r="K49" s="723"/>
      <c r="L49" s="723"/>
      <c r="M49" s="724"/>
    </row>
  </sheetData>
  <mergeCells count="52">
    <mergeCell ref="E19:F19"/>
    <mergeCell ref="B2:D5"/>
    <mergeCell ref="G2:K8"/>
    <mergeCell ref="L2:M5"/>
    <mergeCell ref="L6:M6"/>
    <mergeCell ref="L7:M7"/>
    <mergeCell ref="L8:M8"/>
    <mergeCell ref="E11:G11"/>
    <mergeCell ref="B13:E13"/>
    <mergeCell ref="E14:H14"/>
    <mergeCell ref="E15:F15"/>
    <mergeCell ref="E18:F18"/>
    <mergeCell ref="B30:E30"/>
    <mergeCell ref="F30:J30"/>
    <mergeCell ref="E20:F20"/>
    <mergeCell ref="E21:F21"/>
    <mergeCell ref="E22:F22"/>
    <mergeCell ref="E23:F23"/>
    <mergeCell ref="E24:F24"/>
    <mergeCell ref="E25:F25"/>
    <mergeCell ref="E26:F26"/>
    <mergeCell ref="E27:F27"/>
    <mergeCell ref="B28:L28"/>
    <mergeCell ref="B29:E29"/>
    <mergeCell ref="F29:I29"/>
    <mergeCell ref="B31:E31"/>
    <mergeCell ref="F31:J31"/>
    <mergeCell ref="B32:E32"/>
    <mergeCell ref="F32:J32"/>
    <mergeCell ref="B33:E33"/>
    <mergeCell ref="F33:J33"/>
    <mergeCell ref="B47:E47"/>
    <mergeCell ref="F47:H47"/>
    <mergeCell ref="I47:J47"/>
    <mergeCell ref="K47:M47"/>
    <mergeCell ref="B34:E34"/>
    <mergeCell ref="F34:J34"/>
    <mergeCell ref="B35:E35"/>
    <mergeCell ref="F35:J35"/>
    <mergeCell ref="B45:E45"/>
    <mergeCell ref="F45:H45"/>
    <mergeCell ref="I45:J45"/>
    <mergeCell ref="K45:M45"/>
    <mergeCell ref="B46:E46"/>
    <mergeCell ref="F46:H46"/>
    <mergeCell ref="I46:J46"/>
    <mergeCell ref="K46:M46"/>
    <mergeCell ref="B48:E48"/>
    <mergeCell ref="F48:H48"/>
    <mergeCell ref="I48:J48"/>
    <mergeCell ref="K48:M48"/>
    <mergeCell ref="B49:M49"/>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32080F-EC74-45EB-B2F9-4F9891476FA1}">
  <dimension ref="A1:AR118"/>
  <sheetViews>
    <sheetView topLeftCell="A52" workbookViewId="0">
      <selection activeCell="N13" sqref="N13"/>
    </sheetView>
  </sheetViews>
  <sheetFormatPr defaultColWidth="9.140625" defaultRowHeight="11.25"/>
  <cols>
    <col min="1" max="1" width="14.5703125" style="265" customWidth="1"/>
    <col min="2" max="2" width="20.85546875" style="265" customWidth="1"/>
    <col min="3" max="3" width="17.5703125" style="265" customWidth="1"/>
    <col min="4" max="4" width="12.42578125" style="265" customWidth="1"/>
    <col min="5" max="5" width="12.85546875" style="265" customWidth="1"/>
    <col min="6" max="6" width="11.42578125" style="265" customWidth="1"/>
    <col min="7" max="7" width="13.28515625" style="265" customWidth="1"/>
    <col min="8" max="8" width="15.28515625" style="265" customWidth="1"/>
    <col min="9" max="9" width="13.85546875" style="271" customWidth="1"/>
    <col min="10" max="10" width="25.5703125" style="271" customWidth="1"/>
    <col min="11" max="13" width="13.85546875" style="271" customWidth="1"/>
    <col min="14" max="14" width="26.42578125" style="265" customWidth="1"/>
    <col min="15" max="16" width="9.42578125" style="265" customWidth="1"/>
    <col min="17" max="17" width="8.85546875" style="265" customWidth="1"/>
    <col min="18" max="19" width="9.140625" style="265"/>
    <col min="20" max="20" width="11.42578125" style="265" bestFit="1" customWidth="1"/>
    <col min="21" max="38" width="9.140625" style="265"/>
    <col min="39" max="39" width="12.7109375" style="265" customWidth="1"/>
    <col min="40" max="40" width="9.140625" style="265"/>
    <col min="41" max="41" width="10.85546875" style="265" customWidth="1"/>
    <col min="42" max="43" width="9.140625" style="265"/>
    <col min="44" max="44" width="11" style="265" customWidth="1"/>
    <col min="45" max="16384" width="9.140625" style="265"/>
  </cols>
  <sheetData>
    <row r="1" spans="1:44" ht="20.25">
      <c r="A1" s="275" t="s">
        <v>386</v>
      </c>
    </row>
    <row r="2" spans="1:44">
      <c r="A2" s="265" t="s">
        <v>387</v>
      </c>
    </row>
    <row r="3" spans="1:44" ht="20.25">
      <c r="A3" s="275" t="s">
        <v>388</v>
      </c>
    </row>
    <row r="4" spans="1:44" ht="11.25" customHeight="1">
      <c r="A4" s="849" t="s">
        <v>389</v>
      </c>
      <c r="B4" s="849" t="s">
        <v>150</v>
      </c>
      <c r="C4" s="849" t="s">
        <v>390</v>
      </c>
      <c r="D4" s="825" t="s">
        <v>153</v>
      </c>
      <c r="E4" s="825" t="s">
        <v>154</v>
      </c>
      <c r="F4" s="825" t="s">
        <v>156</v>
      </c>
      <c r="G4" s="825" t="s">
        <v>93</v>
      </c>
      <c r="H4" s="825" t="s">
        <v>155</v>
      </c>
      <c r="I4" s="826" t="s">
        <v>391</v>
      </c>
      <c r="J4" s="827" t="s">
        <v>392</v>
      </c>
      <c r="K4" s="821" t="s">
        <v>393</v>
      </c>
      <c r="L4" s="822" t="s">
        <v>394</v>
      </c>
      <c r="M4" s="822" t="s">
        <v>395</v>
      </c>
      <c r="N4" s="821" t="s">
        <v>152</v>
      </c>
      <c r="O4" s="823" t="s">
        <v>396</v>
      </c>
      <c r="P4" s="823"/>
      <c r="Q4" s="824"/>
      <c r="R4" s="831" t="s">
        <v>397</v>
      </c>
      <c r="S4" s="832"/>
      <c r="T4" s="833"/>
      <c r="U4" s="837" t="s">
        <v>398</v>
      </c>
      <c r="V4" s="838"/>
      <c r="W4" s="839"/>
      <c r="X4" s="840" t="s">
        <v>399</v>
      </c>
      <c r="Y4" s="841"/>
      <c r="Z4" s="842"/>
      <c r="AA4" s="843" t="s">
        <v>400</v>
      </c>
      <c r="AB4" s="844"/>
      <c r="AC4" s="845"/>
      <c r="AD4" s="846" t="s">
        <v>401</v>
      </c>
      <c r="AE4" s="847"/>
      <c r="AF4" s="848"/>
      <c r="AG4" s="828" t="s">
        <v>402</v>
      </c>
      <c r="AH4" s="829"/>
      <c r="AI4" s="830"/>
      <c r="AJ4" s="831" t="s">
        <v>403</v>
      </c>
      <c r="AK4" s="832"/>
      <c r="AL4" s="833"/>
      <c r="AM4" s="834" t="s">
        <v>404</v>
      </c>
      <c r="AN4" s="835"/>
      <c r="AO4" s="825" t="s">
        <v>260</v>
      </c>
      <c r="AP4" s="825"/>
      <c r="AQ4" s="836" t="s">
        <v>405</v>
      </c>
      <c r="AR4" s="836"/>
    </row>
    <row r="5" spans="1:44" ht="30">
      <c r="A5" s="849"/>
      <c r="B5" s="849"/>
      <c r="C5" s="849"/>
      <c r="D5" s="825"/>
      <c r="E5" s="825"/>
      <c r="F5" s="825"/>
      <c r="G5" s="825"/>
      <c r="H5" s="825"/>
      <c r="I5" s="826"/>
      <c r="J5" s="827"/>
      <c r="K5" s="821"/>
      <c r="L5" s="822"/>
      <c r="M5" s="822"/>
      <c r="N5" s="821"/>
      <c r="O5" s="432" t="s">
        <v>406</v>
      </c>
      <c r="P5" s="378" t="s">
        <v>407</v>
      </c>
      <c r="Q5" s="378" t="s">
        <v>408</v>
      </c>
      <c r="R5" s="379" t="s">
        <v>406</v>
      </c>
      <c r="S5" s="379" t="s">
        <v>407</v>
      </c>
      <c r="T5" s="379" t="s">
        <v>408</v>
      </c>
      <c r="U5" s="380" t="s">
        <v>406</v>
      </c>
      <c r="V5" s="380" t="s">
        <v>407</v>
      </c>
      <c r="W5" s="380" t="s">
        <v>408</v>
      </c>
      <c r="X5" s="381" t="s">
        <v>406</v>
      </c>
      <c r="Y5" s="381" t="s">
        <v>407</v>
      </c>
      <c r="Z5" s="381" t="s">
        <v>408</v>
      </c>
      <c r="AA5" s="382" t="s">
        <v>406</v>
      </c>
      <c r="AB5" s="382" t="s">
        <v>407</v>
      </c>
      <c r="AC5" s="382" t="s">
        <v>408</v>
      </c>
      <c r="AD5" s="264" t="s">
        <v>406</v>
      </c>
      <c r="AE5" s="264" t="s">
        <v>407</v>
      </c>
      <c r="AF5" s="264" t="s">
        <v>408</v>
      </c>
      <c r="AG5" s="383" t="s">
        <v>406</v>
      </c>
      <c r="AH5" s="383" t="s">
        <v>407</v>
      </c>
      <c r="AI5" s="383" t="s">
        <v>408</v>
      </c>
      <c r="AJ5" s="379" t="s">
        <v>406</v>
      </c>
      <c r="AK5" s="379" t="s">
        <v>407</v>
      </c>
      <c r="AL5" s="379" t="s">
        <v>408</v>
      </c>
      <c r="AM5" s="384" t="s">
        <v>409</v>
      </c>
      <c r="AN5" s="430" t="s">
        <v>410</v>
      </c>
      <c r="AO5" s="429" t="s">
        <v>411</v>
      </c>
      <c r="AP5" s="429" t="s">
        <v>412</v>
      </c>
      <c r="AQ5" s="428" t="s">
        <v>413</v>
      </c>
      <c r="AR5" s="431" t="s">
        <v>414</v>
      </c>
    </row>
    <row r="6" spans="1:44">
      <c r="A6" s="797" t="s">
        <v>161</v>
      </c>
      <c r="B6" s="797" t="s">
        <v>162</v>
      </c>
      <c r="C6" s="819" t="s">
        <v>162</v>
      </c>
      <c r="D6" s="817">
        <v>1310</v>
      </c>
      <c r="E6" s="817">
        <v>10</v>
      </c>
      <c r="F6" s="816">
        <v>175634</v>
      </c>
      <c r="G6" s="816">
        <f>F6*D6</f>
        <v>230080540</v>
      </c>
      <c r="H6" s="817">
        <v>131</v>
      </c>
      <c r="I6" s="375">
        <v>1</v>
      </c>
      <c r="J6" s="433" t="s">
        <v>415</v>
      </c>
      <c r="K6" s="375">
        <v>1018425430</v>
      </c>
      <c r="L6" s="277" t="s">
        <v>416</v>
      </c>
      <c r="M6" s="434">
        <v>45756</v>
      </c>
      <c r="N6" s="435"/>
      <c r="O6" s="266"/>
      <c r="P6" s="386"/>
      <c r="Q6" s="387">
        <f>O6*P6</f>
        <v>0</v>
      </c>
      <c r="R6" s="266"/>
      <c r="S6" s="386"/>
      <c r="T6" s="387">
        <f>R6*S6</f>
        <v>0</v>
      </c>
      <c r="U6" s="266"/>
      <c r="V6" s="386"/>
      <c r="W6" s="387">
        <f>U6*V6</f>
        <v>0</v>
      </c>
      <c r="X6" s="266"/>
      <c r="Y6" s="386"/>
      <c r="Z6" s="387">
        <f>X6*Y6</f>
        <v>0</v>
      </c>
      <c r="AA6" s="266"/>
      <c r="AB6" s="386"/>
      <c r="AC6" s="387">
        <f>AA6*AB6</f>
        <v>0</v>
      </c>
      <c r="AD6" s="266"/>
      <c r="AE6" s="386"/>
      <c r="AF6" s="387">
        <f>AD6*AE6</f>
        <v>0</v>
      </c>
      <c r="AG6" s="266"/>
      <c r="AH6" s="386"/>
      <c r="AI6" s="387">
        <f>AG6*AH6</f>
        <v>0</v>
      </c>
      <c r="AJ6" s="266"/>
      <c r="AK6" s="386"/>
      <c r="AL6" s="387">
        <f>AJ6*AK6</f>
        <v>0</v>
      </c>
      <c r="AM6" s="388">
        <f>AJ6+AG6+AD6+AA6+X6+U6+R6+O6</f>
        <v>0</v>
      </c>
      <c r="AN6" s="386">
        <f>AL6+AI6+AF6+AC6+Z6+W6+T6+Q6</f>
        <v>0</v>
      </c>
      <c r="AO6" s="804">
        <f>SUM(AM6:AM23)</f>
        <v>0</v>
      </c>
      <c r="AP6" s="816">
        <f>SUM(AN6:AN23)</f>
        <v>0</v>
      </c>
      <c r="AQ6" s="804">
        <f>AO6-D6</f>
        <v>-1310</v>
      </c>
      <c r="AR6" s="805">
        <f>AP6-G6</f>
        <v>-230080540</v>
      </c>
    </row>
    <row r="7" spans="1:44">
      <c r="A7" s="797"/>
      <c r="B7" s="797"/>
      <c r="C7" s="819"/>
      <c r="D7" s="817"/>
      <c r="E7" s="817"/>
      <c r="F7" s="816"/>
      <c r="G7" s="816"/>
      <c r="H7" s="817"/>
      <c r="I7" s="268">
        <v>2</v>
      </c>
      <c r="J7" s="273" t="s">
        <v>417</v>
      </c>
      <c r="K7" s="268">
        <v>1010219918</v>
      </c>
      <c r="L7" s="266" t="s">
        <v>418</v>
      </c>
      <c r="M7" s="267"/>
      <c r="N7" s="385"/>
      <c r="O7" s="266"/>
      <c r="P7" s="386"/>
      <c r="Q7" s="387">
        <f>O7*P7</f>
        <v>0</v>
      </c>
      <c r="R7" s="266"/>
      <c r="S7" s="386"/>
      <c r="T7" s="387">
        <f>R7*S7</f>
        <v>0</v>
      </c>
      <c r="U7" s="266"/>
      <c r="V7" s="386"/>
      <c r="W7" s="387">
        <f>U7*V7</f>
        <v>0</v>
      </c>
      <c r="X7" s="266"/>
      <c r="Y7" s="386"/>
      <c r="Z7" s="387">
        <f>X7*Y7</f>
        <v>0</v>
      </c>
      <c r="AA7" s="266"/>
      <c r="AB7" s="386"/>
      <c r="AC7" s="387">
        <f>AA7*AB7</f>
        <v>0</v>
      </c>
      <c r="AD7" s="266"/>
      <c r="AE7" s="386"/>
      <c r="AF7" s="387">
        <f>AD7*AE7</f>
        <v>0</v>
      </c>
      <c r="AG7" s="266"/>
      <c r="AH7" s="386"/>
      <c r="AI7" s="387">
        <f>AG7*AH7</f>
        <v>0</v>
      </c>
      <c r="AJ7" s="266"/>
      <c r="AK7" s="386"/>
      <c r="AL7" s="387">
        <f>AJ7*AK7</f>
        <v>0</v>
      </c>
      <c r="AM7" s="388">
        <f t="shared" ref="AM7:AM70" si="0">AJ7+AG7+AD7+AA7+X7+U7+R7+O7</f>
        <v>0</v>
      </c>
      <c r="AN7" s="386">
        <f t="shared" ref="AN7:AN70" si="1">AL7+AI7+AF7+AC7+Z7+W7+T7+Q7</f>
        <v>0</v>
      </c>
      <c r="AO7" s="804"/>
      <c r="AP7" s="816"/>
      <c r="AQ7" s="804"/>
      <c r="AR7" s="805"/>
    </row>
    <row r="8" spans="1:44">
      <c r="A8" s="797"/>
      <c r="B8" s="797"/>
      <c r="C8" s="819"/>
      <c r="D8" s="817"/>
      <c r="E8" s="817"/>
      <c r="F8" s="816"/>
      <c r="G8" s="816"/>
      <c r="H8" s="817"/>
      <c r="I8" s="268">
        <v>3</v>
      </c>
      <c r="J8" s="273" t="s">
        <v>419</v>
      </c>
      <c r="K8" s="268">
        <v>79620054</v>
      </c>
      <c r="L8" s="266" t="s">
        <v>420</v>
      </c>
      <c r="M8" s="267"/>
      <c r="N8" s="385"/>
      <c r="O8" s="266"/>
      <c r="P8" s="386"/>
      <c r="Q8" s="387">
        <f t="shared" ref="Q8:Q71" si="2">O8*P8</f>
        <v>0</v>
      </c>
      <c r="R8" s="266"/>
      <c r="S8" s="386"/>
      <c r="T8" s="387">
        <f t="shared" ref="T8:T71" si="3">R8*S8</f>
        <v>0</v>
      </c>
      <c r="U8" s="266"/>
      <c r="V8" s="386"/>
      <c r="W8" s="387">
        <f t="shared" ref="W8:W71" si="4">U8*V8</f>
        <v>0</v>
      </c>
      <c r="X8" s="266"/>
      <c r="Y8" s="386"/>
      <c r="Z8" s="387">
        <f t="shared" ref="Z8:Z71" si="5">X8*Y8</f>
        <v>0</v>
      </c>
      <c r="AA8" s="266"/>
      <c r="AB8" s="386"/>
      <c r="AC8" s="387">
        <f t="shared" ref="AC8:AC71" si="6">AA8*AB8</f>
        <v>0</v>
      </c>
      <c r="AD8" s="266"/>
      <c r="AE8" s="386"/>
      <c r="AF8" s="387">
        <f t="shared" ref="AF8:AF71" si="7">AD8*AE8</f>
        <v>0</v>
      </c>
      <c r="AG8" s="266"/>
      <c r="AH8" s="386"/>
      <c r="AI8" s="387">
        <f t="shared" ref="AI8:AI71" si="8">AG8*AH8</f>
        <v>0</v>
      </c>
      <c r="AJ8" s="266"/>
      <c r="AK8" s="386"/>
      <c r="AL8" s="387">
        <f t="shared" ref="AL8:AL71" si="9">AJ8*AK8</f>
        <v>0</v>
      </c>
      <c r="AM8" s="388">
        <f t="shared" si="0"/>
        <v>0</v>
      </c>
      <c r="AN8" s="386">
        <f t="shared" si="1"/>
        <v>0</v>
      </c>
      <c r="AO8" s="804"/>
      <c r="AP8" s="816"/>
      <c r="AQ8" s="804"/>
      <c r="AR8" s="805"/>
    </row>
    <row r="9" spans="1:44">
      <c r="A9" s="797"/>
      <c r="B9" s="797"/>
      <c r="C9" s="819"/>
      <c r="D9" s="817"/>
      <c r="E9" s="817"/>
      <c r="F9" s="816"/>
      <c r="G9" s="816"/>
      <c r="H9" s="817"/>
      <c r="I9" s="268">
        <v>4</v>
      </c>
      <c r="J9" s="273" t="s">
        <v>421</v>
      </c>
      <c r="K9" s="268">
        <v>79054904</v>
      </c>
      <c r="L9" s="266" t="s">
        <v>422</v>
      </c>
      <c r="M9" s="267"/>
      <c r="N9" s="385"/>
      <c r="O9" s="266"/>
      <c r="P9" s="386"/>
      <c r="Q9" s="387">
        <f t="shared" si="2"/>
        <v>0</v>
      </c>
      <c r="R9" s="266"/>
      <c r="S9" s="386"/>
      <c r="T9" s="387">
        <f t="shared" si="3"/>
        <v>0</v>
      </c>
      <c r="U9" s="266"/>
      <c r="V9" s="386"/>
      <c r="W9" s="387">
        <f t="shared" si="4"/>
        <v>0</v>
      </c>
      <c r="X9" s="266"/>
      <c r="Y9" s="386"/>
      <c r="Z9" s="387">
        <f t="shared" si="5"/>
        <v>0</v>
      </c>
      <c r="AA9" s="266"/>
      <c r="AB9" s="386"/>
      <c r="AC9" s="387">
        <f t="shared" si="6"/>
        <v>0</v>
      </c>
      <c r="AD9" s="266"/>
      <c r="AE9" s="386"/>
      <c r="AF9" s="387">
        <f t="shared" si="7"/>
        <v>0</v>
      </c>
      <c r="AG9" s="266"/>
      <c r="AH9" s="386"/>
      <c r="AI9" s="387">
        <f t="shared" si="8"/>
        <v>0</v>
      </c>
      <c r="AJ9" s="266"/>
      <c r="AK9" s="386"/>
      <c r="AL9" s="387">
        <f t="shared" si="9"/>
        <v>0</v>
      </c>
      <c r="AM9" s="388">
        <f t="shared" si="0"/>
        <v>0</v>
      </c>
      <c r="AN9" s="386">
        <f t="shared" si="1"/>
        <v>0</v>
      </c>
      <c r="AO9" s="804"/>
      <c r="AP9" s="816"/>
      <c r="AQ9" s="804"/>
      <c r="AR9" s="805"/>
    </row>
    <row r="10" spans="1:44">
      <c r="A10" s="797"/>
      <c r="B10" s="797"/>
      <c r="C10" s="819"/>
      <c r="D10" s="817"/>
      <c r="E10" s="817"/>
      <c r="F10" s="816"/>
      <c r="G10" s="816"/>
      <c r="H10" s="817"/>
      <c r="I10" s="268">
        <v>5</v>
      </c>
      <c r="J10" s="273" t="s">
        <v>423</v>
      </c>
      <c r="K10" s="268">
        <v>1019022692</v>
      </c>
      <c r="L10" s="266" t="s">
        <v>424</v>
      </c>
      <c r="M10" s="267"/>
      <c r="N10" s="385"/>
      <c r="O10" s="266"/>
      <c r="P10" s="386"/>
      <c r="Q10" s="387">
        <f t="shared" si="2"/>
        <v>0</v>
      </c>
      <c r="R10" s="266"/>
      <c r="S10" s="386"/>
      <c r="T10" s="387">
        <f t="shared" si="3"/>
        <v>0</v>
      </c>
      <c r="U10" s="266"/>
      <c r="V10" s="386"/>
      <c r="W10" s="387">
        <f t="shared" si="4"/>
        <v>0</v>
      </c>
      <c r="X10" s="266"/>
      <c r="Y10" s="386"/>
      <c r="Z10" s="387">
        <f t="shared" si="5"/>
        <v>0</v>
      </c>
      <c r="AA10" s="266"/>
      <c r="AB10" s="386"/>
      <c r="AC10" s="387">
        <f t="shared" si="6"/>
        <v>0</v>
      </c>
      <c r="AD10" s="266"/>
      <c r="AE10" s="386"/>
      <c r="AF10" s="387">
        <f t="shared" si="7"/>
        <v>0</v>
      </c>
      <c r="AG10" s="266"/>
      <c r="AH10" s="386"/>
      <c r="AI10" s="387">
        <f t="shared" si="8"/>
        <v>0</v>
      </c>
      <c r="AJ10" s="266"/>
      <c r="AK10" s="386"/>
      <c r="AL10" s="387">
        <f t="shared" si="9"/>
        <v>0</v>
      </c>
      <c r="AM10" s="388">
        <f t="shared" si="0"/>
        <v>0</v>
      </c>
      <c r="AN10" s="386">
        <f t="shared" si="1"/>
        <v>0</v>
      </c>
      <c r="AO10" s="804"/>
      <c r="AP10" s="816"/>
      <c r="AQ10" s="804"/>
      <c r="AR10" s="805"/>
    </row>
    <row r="11" spans="1:44">
      <c r="A11" s="797"/>
      <c r="B11" s="797"/>
      <c r="C11" s="819"/>
      <c r="D11" s="817"/>
      <c r="E11" s="817"/>
      <c r="F11" s="816"/>
      <c r="G11" s="816"/>
      <c r="H11" s="817"/>
      <c r="I11" s="268">
        <v>6</v>
      </c>
      <c r="J11" s="273" t="s">
        <v>425</v>
      </c>
      <c r="K11" s="268">
        <v>80076111</v>
      </c>
      <c r="L11" s="266" t="s">
        <v>426</v>
      </c>
      <c r="M11" s="267"/>
      <c r="N11" s="385"/>
      <c r="O11" s="266"/>
      <c r="P11" s="386"/>
      <c r="Q11" s="387">
        <f t="shared" si="2"/>
        <v>0</v>
      </c>
      <c r="R11" s="387"/>
      <c r="S11" s="386"/>
      <c r="T11" s="387">
        <f t="shared" si="3"/>
        <v>0</v>
      </c>
      <c r="U11" s="266"/>
      <c r="V11" s="386"/>
      <c r="W11" s="387">
        <f t="shared" si="4"/>
        <v>0</v>
      </c>
      <c r="X11" s="266"/>
      <c r="Y11" s="386"/>
      <c r="Z11" s="387">
        <f t="shared" si="5"/>
        <v>0</v>
      </c>
      <c r="AA11" s="266"/>
      <c r="AB11" s="386"/>
      <c r="AC11" s="387">
        <f t="shared" si="6"/>
        <v>0</v>
      </c>
      <c r="AD11" s="266"/>
      <c r="AE11" s="386"/>
      <c r="AF11" s="387">
        <f t="shared" si="7"/>
        <v>0</v>
      </c>
      <c r="AG11" s="266"/>
      <c r="AH11" s="386"/>
      <c r="AI11" s="387">
        <f t="shared" si="8"/>
        <v>0</v>
      </c>
      <c r="AJ11" s="266"/>
      <c r="AK11" s="386"/>
      <c r="AL11" s="387">
        <f t="shared" si="9"/>
        <v>0</v>
      </c>
      <c r="AM11" s="388">
        <f t="shared" si="0"/>
        <v>0</v>
      </c>
      <c r="AN11" s="386">
        <f t="shared" si="1"/>
        <v>0</v>
      </c>
      <c r="AO11" s="804"/>
      <c r="AP11" s="816"/>
      <c r="AQ11" s="804"/>
      <c r="AR11" s="805"/>
    </row>
    <row r="12" spans="1:44">
      <c r="A12" s="797"/>
      <c r="B12" s="797"/>
      <c r="C12" s="819"/>
      <c r="D12" s="817"/>
      <c r="E12" s="817"/>
      <c r="F12" s="816"/>
      <c r="G12" s="816"/>
      <c r="H12" s="817"/>
      <c r="I12" s="268">
        <v>7</v>
      </c>
      <c r="J12" s="273" t="s">
        <v>427</v>
      </c>
      <c r="K12" s="268">
        <v>53119208</v>
      </c>
      <c r="L12" s="266" t="s">
        <v>428</v>
      </c>
      <c r="M12" s="267"/>
      <c r="N12" s="385"/>
      <c r="O12" s="266"/>
      <c r="P12" s="386"/>
      <c r="Q12" s="387">
        <f t="shared" si="2"/>
        <v>0</v>
      </c>
      <c r="R12" s="387"/>
      <c r="S12" s="386"/>
      <c r="T12" s="387">
        <f t="shared" si="3"/>
        <v>0</v>
      </c>
      <c r="U12" s="266"/>
      <c r="V12" s="386"/>
      <c r="W12" s="387">
        <f t="shared" si="4"/>
        <v>0</v>
      </c>
      <c r="X12" s="266"/>
      <c r="Y12" s="386"/>
      <c r="Z12" s="387">
        <f t="shared" si="5"/>
        <v>0</v>
      </c>
      <c r="AA12" s="266"/>
      <c r="AB12" s="386"/>
      <c r="AC12" s="387">
        <f t="shared" si="6"/>
        <v>0</v>
      </c>
      <c r="AD12" s="266"/>
      <c r="AE12" s="386"/>
      <c r="AF12" s="387">
        <f t="shared" si="7"/>
        <v>0</v>
      </c>
      <c r="AG12" s="266"/>
      <c r="AH12" s="386"/>
      <c r="AI12" s="387">
        <f t="shared" si="8"/>
        <v>0</v>
      </c>
      <c r="AJ12" s="266"/>
      <c r="AK12" s="386"/>
      <c r="AL12" s="387">
        <f t="shared" si="9"/>
        <v>0</v>
      </c>
      <c r="AM12" s="388">
        <f t="shared" si="0"/>
        <v>0</v>
      </c>
      <c r="AN12" s="386">
        <f t="shared" si="1"/>
        <v>0</v>
      </c>
      <c r="AO12" s="804"/>
      <c r="AP12" s="816"/>
      <c r="AQ12" s="804"/>
      <c r="AR12" s="805"/>
    </row>
    <row r="13" spans="1:44">
      <c r="A13" s="797"/>
      <c r="B13" s="797"/>
      <c r="C13" s="819"/>
      <c r="D13" s="817"/>
      <c r="E13" s="817"/>
      <c r="F13" s="816"/>
      <c r="G13" s="816"/>
      <c r="H13" s="817"/>
      <c r="I13" s="268">
        <v>8</v>
      </c>
      <c r="J13" s="273" t="s">
        <v>429</v>
      </c>
      <c r="K13" s="268">
        <v>30392452</v>
      </c>
      <c r="L13" s="266" t="s">
        <v>430</v>
      </c>
      <c r="M13" s="267"/>
      <c r="N13" s="385"/>
      <c r="O13" s="266"/>
      <c r="P13" s="386"/>
      <c r="Q13" s="387">
        <f t="shared" si="2"/>
        <v>0</v>
      </c>
      <c r="R13" s="387"/>
      <c r="S13" s="386"/>
      <c r="T13" s="387">
        <f t="shared" si="3"/>
        <v>0</v>
      </c>
      <c r="U13" s="266"/>
      <c r="V13" s="386"/>
      <c r="W13" s="387">
        <f t="shared" si="4"/>
        <v>0</v>
      </c>
      <c r="X13" s="266"/>
      <c r="Y13" s="386"/>
      <c r="Z13" s="387">
        <f t="shared" si="5"/>
        <v>0</v>
      </c>
      <c r="AA13" s="266"/>
      <c r="AB13" s="386"/>
      <c r="AC13" s="387">
        <f t="shared" si="6"/>
        <v>0</v>
      </c>
      <c r="AD13" s="266"/>
      <c r="AE13" s="386"/>
      <c r="AF13" s="387">
        <f t="shared" si="7"/>
        <v>0</v>
      </c>
      <c r="AG13" s="266"/>
      <c r="AH13" s="386"/>
      <c r="AI13" s="387">
        <f t="shared" si="8"/>
        <v>0</v>
      </c>
      <c r="AJ13" s="266"/>
      <c r="AK13" s="386"/>
      <c r="AL13" s="387">
        <f t="shared" si="9"/>
        <v>0</v>
      </c>
      <c r="AM13" s="388">
        <f t="shared" si="0"/>
        <v>0</v>
      </c>
      <c r="AN13" s="386">
        <f t="shared" si="1"/>
        <v>0</v>
      </c>
      <c r="AO13" s="804"/>
      <c r="AP13" s="816"/>
      <c r="AQ13" s="804"/>
      <c r="AR13" s="805"/>
    </row>
    <row r="14" spans="1:44">
      <c r="A14" s="797"/>
      <c r="B14" s="797"/>
      <c r="C14" s="819"/>
      <c r="D14" s="817"/>
      <c r="E14" s="817"/>
      <c r="F14" s="816"/>
      <c r="G14" s="816"/>
      <c r="H14" s="817"/>
      <c r="I14" s="268">
        <v>9</v>
      </c>
      <c r="J14" s="273" t="s">
        <v>431</v>
      </c>
      <c r="K14" s="268">
        <v>1020766226</v>
      </c>
      <c r="L14" s="266" t="s">
        <v>432</v>
      </c>
      <c r="M14" s="267"/>
      <c r="N14" s="385"/>
      <c r="O14" s="266"/>
      <c r="P14" s="386"/>
      <c r="Q14" s="387">
        <f t="shared" si="2"/>
        <v>0</v>
      </c>
      <c r="R14" s="387"/>
      <c r="S14" s="386"/>
      <c r="T14" s="387">
        <f t="shared" si="3"/>
        <v>0</v>
      </c>
      <c r="U14" s="266"/>
      <c r="V14" s="386"/>
      <c r="W14" s="387">
        <f t="shared" si="4"/>
        <v>0</v>
      </c>
      <c r="X14" s="266"/>
      <c r="Y14" s="386"/>
      <c r="Z14" s="387">
        <f t="shared" si="5"/>
        <v>0</v>
      </c>
      <c r="AA14" s="266"/>
      <c r="AB14" s="386"/>
      <c r="AC14" s="387">
        <f t="shared" si="6"/>
        <v>0</v>
      </c>
      <c r="AD14" s="266"/>
      <c r="AE14" s="386"/>
      <c r="AF14" s="387">
        <f t="shared" si="7"/>
        <v>0</v>
      </c>
      <c r="AG14" s="266"/>
      <c r="AH14" s="386"/>
      <c r="AI14" s="387">
        <f t="shared" si="8"/>
        <v>0</v>
      </c>
      <c r="AJ14" s="266"/>
      <c r="AK14" s="386"/>
      <c r="AL14" s="387">
        <f t="shared" si="9"/>
        <v>0</v>
      </c>
      <c r="AM14" s="388">
        <f t="shared" si="0"/>
        <v>0</v>
      </c>
      <c r="AN14" s="386">
        <f t="shared" si="1"/>
        <v>0</v>
      </c>
      <c r="AO14" s="804"/>
      <c r="AP14" s="816"/>
      <c r="AQ14" s="804"/>
      <c r="AR14" s="805"/>
    </row>
    <row r="15" spans="1:44">
      <c r="A15" s="797"/>
      <c r="B15" s="797"/>
      <c r="C15" s="819"/>
      <c r="D15" s="817"/>
      <c r="E15" s="817"/>
      <c r="F15" s="816"/>
      <c r="G15" s="816"/>
      <c r="H15" s="817"/>
      <c r="I15" s="268">
        <v>10</v>
      </c>
      <c r="J15" s="273" t="s">
        <v>433</v>
      </c>
      <c r="K15" s="268">
        <v>79386350</v>
      </c>
      <c r="L15" s="266" t="s">
        <v>434</v>
      </c>
      <c r="M15" s="267"/>
      <c r="N15" s="385"/>
      <c r="O15" s="266"/>
      <c r="P15" s="386"/>
      <c r="Q15" s="387">
        <f t="shared" si="2"/>
        <v>0</v>
      </c>
      <c r="R15" s="387"/>
      <c r="S15" s="386"/>
      <c r="T15" s="387">
        <f t="shared" si="3"/>
        <v>0</v>
      </c>
      <c r="U15" s="266"/>
      <c r="V15" s="386"/>
      <c r="W15" s="387">
        <f t="shared" si="4"/>
        <v>0</v>
      </c>
      <c r="X15" s="266"/>
      <c r="Y15" s="386"/>
      <c r="Z15" s="387">
        <f t="shared" si="5"/>
        <v>0</v>
      </c>
      <c r="AA15" s="266"/>
      <c r="AB15" s="386"/>
      <c r="AC15" s="387">
        <f t="shared" si="6"/>
        <v>0</v>
      </c>
      <c r="AD15" s="266"/>
      <c r="AE15" s="386"/>
      <c r="AF15" s="387">
        <f t="shared" si="7"/>
        <v>0</v>
      </c>
      <c r="AG15" s="266"/>
      <c r="AH15" s="386"/>
      <c r="AI15" s="387">
        <f t="shared" si="8"/>
        <v>0</v>
      </c>
      <c r="AJ15" s="266"/>
      <c r="AK15" s="386"/>
      <c r="AL15" s="387">
        <f t="shared" si="9"/>
        <v>0</v>
      </c>
      <c r="AM15" s="388">
        <f t="shared" si="0"/>
        <v>0</v>
      </c>
      <c r="AN15" s="386">
        <f t="shared" si="1"/>
        <v>0</v>
      </c>
      <c r="AO15" s="804"/>
      <c r="AP15" s="816"/>
      <c r="AQ15" s="804"/>
      <c r="AR15" s="805"/>
    </row>
    <row r="16" spans="1:44">
      <c r="A16" s="797"/>
      <c r="B16" s="797"/>
      <c r="C16" s="819"/>
      <c r="D16" s="817"/>
      <c r="E16" s="817"/>
      <c r="F16" s="816"/>
      <c r="G16" s="816"/>
      <c r="H16" s="817"/>
      <c r="I16" s="268">
        <v>11</v>
      </c>
      <c r="J16" s="273" t="s">
        <v>435</v>
      </c>
      <c r="K16" s="268">
        <v>52218611</v>
      </c>
      <c r="L16" s="266" t="s">
        <v>436</v>
      </c>
      <c r="M16" s="267"/>
      <c r="N16" s="385"/>
      <c r="O16" s="266"/>
      <c r="P16" s="386"/>
      <c r="Q16" s="387">
        <f t="shared" si="2"/>
        <v>0</v>
      </c>
      <c r="R16" s="387"/>
      <c r="S16" s="386"/>
      <c r="T16" s="387">
        <f t="shared" si="3"/>
        <v>0</v>
      </c>
      <c r="U16" s="266"/>
      <c r="V16" s="386"/>
      <c r="W16" s="387">
        <f t="shared" si="4"/>
        <v>0</v>
      </c>
      <c r="X16" s="266"/>
      <c r="Y16" s="386"/>
      <c r="Z16" s="387">
        <f t="shared" si="5"/>
        <v>0</v>
      </c>
      <c r="AA16" s="266"/>
      <c r="AB16" s="386"/>
      <c r="AC16" s="387">
        <f t="shared" si="6"/>
        <v>0</v>
      </c>
      <c r="AD16" s="266"/>
      <c r="AE16" s="386"/>
      <c r="AF16" s="387">
        <f t="shared" si="7"/>
        <v>0</v>
      </c>
      <c r="AG16" s="266"/>
      <c r="AH16" s="386"/>
      <c r="AI16" s="387">
        <f t="shared" si="8"/>
        <v>0</v>
      </c>
      <c r="AJ16" s="266"/>
      <c r="AK16" s="386"/>
      <c r="AL16" s="387">
        <f t="shared" si="9"/>
        <v>0</v>
      </c>
      <c r="AM16" s="388">
        <f t="shared" si="0"/>
        <v>0</v>
      </c>
      <c r="AN16" s="386">
        <f t="shared" si="1"/>
        <v>0</v>
      </c>
      <c r="AO16" s="804"/>
      <c r="AP16" s="816"/>
      <c r="AQ16" s="804"/>
      <c r="AR16" s="805"/>
    </row>
    <row r="17" spans="1:44">
      <c r="A17" s="797"/>
      <c r="B17" s="797"/>
      <c r="C17" s="819"/>
      <c r="D17" s="817"/>
      <c r="E17" s="817"/>
      <c r="F17" s="816"/>
      <c r="G17" s="816"/>
      <c r="H17" s="817"/>
      <c r="I17" s="268">
        <v>12</v>
      </c>
      <c r="J17" s="273" t="s">
        <v>437</v>
      </c>
      <c r="K17" s="268">
        <v>1014275124</v>
      </c>
      <c r="L17" s="266" t="s">
        <v>438</v>
      </c>
      <c r="M17" s="267"/>
      <c r="N17" s="385"/>
      <c r="O17" s="266"/>
      <c r="P17" s="386"/>
      <c r="Q17" s="387">
        <f t="shared" si="2"/>
        <v>0</v>
      </c>
      <c r="R17" s="387"/>
      <c r="S17" s="386"/>
      <c r="T17" s="387">
        <f t="shared" si="3"/>
        <v>0</v>
      </c>
      <c r="U17" s="266"/>
      <c r="V17" s="386"/>
      <c r="W17" s="387">
        <f t="shared" si="4"/>
        <v>0</v>
      </c>
      <c r="X17" s="266"/>
      <c r="Y17" s="386"/>
      <c r="Z17" s="387">
        <f t="shared" si="5"/>
        <v>0</v>
      </c>
      <c r="AA17" s="266"/>
      <c r="AB17" s="386"/>
      <c r="AC17" s="387">
        <f t="shared" si="6"/>
        <v>0</v>
      </c>
      <c r="AD17" s="266"/>
      <c r="AE17" s="386"/>
      <c r="AF17" s="387">
        <f t="shared" si="7"/>
        <v>0</v>
      </c>
      <c r="AG17" s="266"/>
      <c r="AH17" s="386"/>
      <c r="AI17" s="387">
        <f t="shared" si="8"/>
        <v>0</v>
      </c>
      <c r="AJ17" s="266"/>
      <c r="AK17" s="386"/>
      <c r="AL17" s="387">
        <f t="shared" si="9"/>
        <v>0</v>
      </c>
      <c r="AM17" s="388">
        <f t="shared" si="0"/>
        <v>0</v>
      </c>
      <c r="AN17" s="386">
        <f t="shared" si="1"/>
        <v>0</v>
      </c>
      <c r="AO17" s="804"/>
      <c r="AP17" s="816"/>
      <c r="AQ17" s="804"/>
      <c r="AR17" s="805"/>
    </row>
    <row r="18" spans="1:44">
      <c r="A18" s="797"/>
      <c r="B18" s="797"/>
      <c r="C18" s="819"/>
      <c r="D18" s="817"/>
      <c r="E18" s="817"/>
      <c r="F18" s="816"/>
      <c r="G18" s="816"/>
      <c r="H18" s="817"/>
      <c r="I18" s="268">
        <v>13</v>
      </c>
      <c r="J18" s="273" t="s">
        <v>439</v>
      </c>
      <c r="K18" s="268">
        <v>39616521</v>
      </c>
      <c r="L18" s="266" t="s">
        <v>440</v>
      </c>
      <c r="M18" s="267"/>
      <c r="N18" s="385"/>
      <c r="O18" s="266"/>
      <c r="P18" s="386"/>
      <c r="Q18" s="387">
        <f t="shared" si="2"/>
        <v>0</v>
      </c>
      <c r="R18" s="387"/>
      <c r="S18" s="386"/>
      <c r="T18" s="387">
        <f t="shared" si="3"/>
        <v>0</v>
      </c>
      <c r="U18" s="266"/>
      <c r="V18" s="386"/>
      <c r="W18" s="387">
        <f t="shared" si="4"/>
        <v>0</v>
      </c>
      <c r="X18" s="266"/>
      <c r="Y18" s="386"/>
      <c r="Z18" s="387">
        <f t="shared" si="5"/>
        <v>0</v>
      </c>
      <c r="AA18" s="266"/>
      <c r="AB18" s="386"/>
      <c r="AC18" s="387">
        <f t="shared" si="6"/>
        <v>0</v>
      </c>
      <c r="AD18" s="266"/>
      <c r="AE18" s="386"/>
      <c r="AF18" s="387">
        <f t="shared" si="7"/>
        <v>0</v>
      </c>
      <c r="AG18" s="266"/>
      <c r="AH18" s="386"/>
      <c r="AI18" s="387">
        <f t="shared" si="8"/>
        <v>0</v>
      </c>
      <c r="AJ18" s="266"/>
      <c r="AK18" s="386"/>
      <c r="AL18" s="387">
        <f t="shared" si="9"/>
        <v>0</v>
      </c>
      <c r="AM18" s="388">
        <f t="shared" si="0"/>
        <v>0</v>
      </c>
      <c r="AN18" s="386">
        <f t="shared" si="1"/>
        <v>0</v>
      </c>
      <c r="AO18" s="804"/>
      <c r="AP18" s="816"/>
      <c r="AQ18" s="804"/>
      <c r="AR18" s="805"/>
    </row>
    <row r="19" spans="1:44">
      <c r="A19" s="797"/>
      <c r="B19" s="797"/>
      <c r="C19" s="819"/>
      <c r="D19" s="817"/>
      <c r="E19" s="817"/>
      <c r="F19" s="816"/>
      <c r="G19" s="816"/>
      <c r="H19" s="817"/>
      <c r="I19" s="268">
        <v>14</v>
      </c>
      <c r="J19" s="273" t="s">
        <v>441</v>
      </c>
      <c r="K19" s="268">
        <v>63350240</v>
      </c>
      <c r="L19" s="266" t="s">
        <v>442</v>
      </c>
      <c r="M19" s="267"/>
      <c r="N19" s="385"/>
      <c r="O19" s="266"/>
      <c r="P19" s="386"/>
      <c r="Q19" s="387">
        <f t="shared" si="2"/>
        <v>0</v>
      </c>
      <c r="R19" s="387"/>
      <c r="S19" s="386"/>
      <c r="T19" s="387">
        <f t="shared" si="3"/>
        <v>0</v>
      </c>
      <c r="U19" s="266"/>
      <c r="V19" s="386"/>
      <c r="W19" s="387">
        <f t="shared" si="4"/>
        <v>0</v>
      </c>
      <c r="X19" s="266"/>
      <c r="Y19" s="386"/>
      <c r="Z19" s="387">
        <f t="shared" si="5"/>
        <v>0</v>
      </c>
      <c r="AA19" s="266"/>
      <c r="AB19" s="386"/>
      <c r="AC19" s="387">
        <f t="shared" si="6"/>
        <v>0</v>
      </c>
      <c r="AD19" s="266"/>
      <c r="AE19" s="386"/>
      <c r="AF19" s="387">
        <f t="shared" si="7"/>
        <v>0</v>
      </c>
      <c r="AG19" s="266"/>
      <c r="AH19" s="386"/>
      <c r="AI19" s="387">
        <f t="shared" si="8"/>
        <v>0</v>
      </c>
      <c r="AJ19" s="266"/>
      <c r="AK19" s="386"/>
      <c r="AL19" s="387">
        <f t="shared" si="9"/>
        <v>0</v>
      </c>
      <c r="AM19" s="388">
        <f t="shared" si="0"/>
        <v>0</v>
      </c>
      <c r="AN19" s="386">
        <f t="shared" si="1"/>
        <v>0</v>
      </c>
      <c r="AO19" s="804"/>
      <c r="AP19" s="816"/>
      <c r="AQ19" s="804"/>
      <c r="AR19" s="805"/>
    </row>
    <row r="20" spans="1:44">
      <c r="A20" s="797"/>
      <c r="B20" s="797"/>
      <c r="C20" s="819"/>
      <c r="D20" s="817"/>
      <c r="E20" s="817"/>
      <c r="F20" s="816"/>
      <c r="G20" s="816"/>
      <c r="H20" s="817"/>
      <c r="I20" s="268">
        <v>15</v>
      </c>
      <c r="J20" s="273" t="s">
        <v>443</v>
      </c>
      <c r="K20" s="268">
        <v>79938989</v>
      </c>
      <c r="L20" s="266" t="s">
        <v>444</v>
      </c>
      <c r="M20" s="267"/>
      <c r="N20" s="385"/>
      <c r="O20" s="266"/>
      <c r="P20" s="386"/>
      <c r="Q20" s="387">
        <f t="shared" si="2"/>
        <v>0</v>
      </c>
      <c r="R20" s="387"/>
      <c r="S20" s="386"/>
      <c r="T20" s="387">
        <f t="shared" si="3"/>
        <v>0</v>
      </c>
      <c r="U20" s="266"/>
      <c r="V20" s="386"/>
      <c r="W20" s="387">
        <f t="shared" si="4"/>
        <v>0</v>
      </c>
      <c r="X20" s="266"/>
      <c r="Y20" s="386"/>
      <c r="Z20" s="387">
        <f t="shared" si="5"/>
        <v>0</v>
      </c>
      <c r="AA20" s="266"/>
      <c r="AB20" s="386"/>
      <c r="AC20" s="387">
        <f t="shared" si="6"/>
        <v>0</v>
      </c>
      <c r="AD20" s="266"/>
      <c r="AE20" s="386"/>
      <c r="AF20" s="387">
        <f t="shared" si="7"/>
        <v>0</v>
      </c>
      <c r="AG20" s="266"/>
      <c r="AH20" s="386"/>
      <c r="AI20" s="387">
        <f t="shared" si="8"/>
        <v>0</v>
      </c>
      <c r="AJ20" s="266"/>
      <c r="AK20" s="386"/>
      <c r="AL20" s="387">
        <f t="shared" si="9"/>
        <v>0</v>
      </c>
      <c r="AM20" s="388">
        <f t="shared" si="0"/>
        <v>0</v>
      </c>
      <c r="AN20" s="386">
        <f t="shared" si="1"/>
        <v>0</v>
      </c>
      <c r="AO20" s="804"/>
      <c r="AP20" s="816"/>
      <c r="AQ20" s="804"/>
      <c r="AR20" s="805"/>
    </row>
    <row r="21" spans="1:44">
      <c r="A21" s="797"/>
      <c r="B21" s="797"/>
      <c r="C21" s="819"/>
      <c r="D21" s="817"/>
      <c r="E21" s="817"/>
      <c r="F21" s="816"/>
      <c r="G21" s="816"/>
      <c r="H21" s="817"/>
      <c r="I21" s="268">
        <v>16</v>
      </c>
      <c r="J21" s="273" t="s">
        <v>445</v>
      </c>
      <c r="K21" s="268">
        <v>52693691</v>
      </c>
      <c r="L21" s="266" t="s">
        <v>446</v>
      </c>
      <c r="M21" s="267"/>
      <c r="N21" s="385"/>
      <c r="O21" s="266"/>
      <c r="P21" s="386"/>
      <c r="Q21" s="387">
        <f t="shared" si="2"/>
        <v>0</v>
      </c>
      <c r="R21" s="387"/>
      <c r="S21" s="386"/>
      <c r="T21" s="387">
        <f t="shared" si="3"/>
        <v>0</v>
      </c>
      <c r="U21" s="266"/>
      <c r="V21" s="386"/>
      <c r="W21" s="387">
        <f t="shared" si="4"/>
        <v>0</v>
      </c>
      <c r="X21" s="266"/>
      <c r="Y21" s="386"/>
      <c r="Z21" s="387">
        <f t="shared" si="5"/>
        <v>0</v>
      </c>
      <c r="AA21" s="266"/>
      <c r="AB21" s="386"/>
      <c r="AC21" s="387">
        <f t="shared" si="6"/>
        <v>0</v>
      </c>
      <c r="AD21" s="266"/>
      <c r="AE21" s="386"/>
      <c r="AF21" s="387">
        <f t="shared" si="7"/>
        <v>0</v>
      </c>
      <c r="AG21" s="266"/>
      <c r="AH21" s="386"/>
      <c r="AI21" s="387">
        <f t="shared" si="8"/>
        <v>0</v>
      </c>
      <c r="AJ21" s="266"/>
      <c r="AK21" s="386"/>
      <c r="AL21" s="387">
        <f t="shared" si="9"/>
        <v>0</v>
      </c>
      <c r="AM21" s="388">
        <f t="shared" si="0"/>
        <v>0</v>
      </c>
      <c r="AN21" s="386">
        <f t="shared" si="1"/>
        <v>0</v>
      </c>
      <c r="AO21" s="804"/>
      <c r="AP21" s="816"/>
      <c r="AQ21" s="804"/>
      <c r="AR21" s="805"/>
    </row>
    <row r="22" spans="1:44">
      <c r="A22" s="797"/>
      <c r="B22" s="797"/>
      <c r="C22" s="819"/>
      <c r="D22" s="817"/>
      <c r="E22" s="817"/>
      <c r="F22" s="816"/>
      <c r="G22" s="816"/>
      <c r="H22" s="817"/>
      <c r="I22" s="268">
        <v>17</v>
      </c>
      <c r="J22" s="273" t="s">
        <v>338</v>
      </c>
      <c r="K22" s="268">
        <v>79757955</v>
      </c>
      <c r="L22" s="266" t="s">
        <v>447</v>
      </c>
      <c r="M22" s="267"/>
      <c r="N22" s="385"/>
      <c r="O22" s="266"/>
      <c r="P22" s="386"/>
      <c r="Q22" s="387">
        <f t="shared" si="2"/>
        <v>0</v>
      </c>
      <c r="R22" s="387"/>
      <c r="S22" s="386"/>
      <c r="T22" s="387">
        <f t="shared" si="3"/>
        <v>0</v>
      </c>
      <c r="U22" s="266"/>
      <c r="V22" s="386"/>
      <c r="W22" s="387">
        <f t="shared" si="4"/>
        <v>0</v>
      </c>
      <c r="X22" s="266"/>
      <c r="Y22" s="386"/>
      <c r="Z22" s="387">
        <f t="shared" si="5"/>
        <v>0</v>
      </c>
      <c r="AA22" s="266"/>
      <c r="AB22" s="386"/>
      <c r="AC22" s="387">
        <f t="shared" si="6"/>
        <v>0</v>
      </c>
      <c r="AD22" s="266"/>
      <c r="AE22" s="386"/>
      <c r="AF22" s="387">
        <f t="shared" si="7"/>
        <v>0</v>
      </c>
      <c r="AG22" s="266"/>
      <c r="AH22" s="386"/>
      <c r="AI22" s="387">
        <f t="shared" si="8"/>
        <v>0</v>
      </c>
      <c r="AJ22" s="266"/>
      <c r="AK22" s="386"/>
      <c r="AL22" s="387">
        <f t="shared" si="9"/>
        <v>0</v>
      </c>
      <c r="AM22" s="388">
        <f t="shared" si="0"/>
        <v>0</v>
      </c>
      <c r="AN22" s="386">
        <f t="shared" si="1"/>
        <v>0</v>
      </c>
      <c r="AO22" s="804"/>
      <c r="AP22" s="816"/>
      <c r="AQ22" s="804"/>
      <c r="AR22" s="805"/>
    </row>
    <row r="23" spans="1:44">
      <c r="A23" s="667"/>
      <c r="B23" s="667"/>
      <c r="C23" s="820"/>
      <c r="D23" s="817"/>
      <c r="E23" s="817"/>
      <c r="F23" s="816"/>
      <c r="G23" s="816"/>
      <c r="H23" s="818"/>
      <c r="I23" s="268">
        <v>18</v>
      </c>
      <c r="J23" s="273" t="s">
        <v>448</v>
      </c>
      <c r="K23" s="268">
        <v>80842807</v>
      </c>
      <c r="L23" s="266" t="s">
        <v>449</v>
      </c>
      <c r="M23" s="267"/>
      <c r="N23" s="385"/>
      <c r="O23" s="266"/>
      <c r="P23" s="386"/>
      <c r="Q23" s="387">
        <f t="shared" si="2"/>
        <v>0</v>
      </c>
      <c r="R23" s="387"/>
      <c r="S23" s="386"/>
      <c r="T23" s="387">
        <f t="shared" si="3"/>
        <v>0</v>
      </c>
      <c r="U23" s="266"/>
      <c r="V23" s="386"/>
      <c r="W23" s="387">
        <f t="shared" si="4"/>
        <v>0</v>
      </c>
      <c r="X23" s="266"/>
      <c r="Y23" s="386"/>
      <c r="Z23" s="387">
        <f t="shared" si="5"/>
        <v>0</v>
      </c>
      <c r="AA23" s="266"/>
      <c r="AB23" s="386"/>
      <c r="AC23" s="387">
        <f t="shared" si="6"/>
        <v>0</v>
      </c>
      <c r="AD23" s="266"/>
      <c r="AE23" s="386"/>
      <c r="AF23" s="387">
        <f t="shared" si="7"/>
        <v>0</v>
      </c>
      <c r="AG23" s="266"/>
      <c r="AH23" s="386"/>
      <c r="AI23" s="387">
        <f t="shared" si="8"/>
        <v>0</v>
      </c>
      <c r="AJ23" s="266"/>
      <c r="AK23" s="386"/>
      <c r="AL23" s="387">
        <f t="shared" si="9"/>
        <v>0</v>
      </c>
      <c r="AM23" s="388">
        <f t="shared" si="0"/>
        <v>0</v>
      </c>
      <c r="AN23" s="386">
        <f t="shared" si="1"/>
        <v>0</v>
      </c>
      <c r="AO23" s="804"/>
      <c r="AP23" s="816"/>
      <c r="AQ23" s="804"/>
      <c r="AR23" s="805"/>
    </row>
    <row r="24" spans="1:44" ht="20.25">
      <c r="A24" s="666" t="s">
        <v>169</v>
      </c>
      <c r="B24" s="666" t="s">
        <v>140</v>
      </c>
      <c r="C24" s="807" t="s">
        <v>170</v>
      </c>
      <c r="D24" s="757">
        <v>460</v>
      </c>
      <c r="E24" s="757">
        <v>5</v>
      </c>
      <c r="F24" s="805">
        <v>223020</v>
      </c>
      <c r="G24" s="805">
        <f>F24*D24</f>
        <v>102589200</v>
      </c>
      <c r="H24" s="801">
        <f>D24/E24</f>
        <v>92</v>
      </c>
      <c r="I24" s="268">
        <v>1</v>
      </c>
      <c r="J24" s="273" t="s">
        <v>450</v>
      </c>
      <c r="K24" s="268">
        <v>79818267</v>
      </c>
      <c r="L24" s="268"/>
      <c r="M24" s="268"/>
      <c r="N24" s="389" t="s">
        <v>451</v>
      </c>
      <c r="O24" s="266"/>
      <c r="P24" s="386"/>
      <c r="Q24" s="387">
        <f t="shared" si="2"/>
        <v>0</v>
      </c>
      <c r="R24" s="387"/>
      <c r="S24" s="386"/>
      <c r="T24" s="387">
        <f t="shared" si="3"/>
        <v>0</v>
      </c>
      <c r="U24" s="266"/>
      <c r="V24" s="386"/>
      <c r="W24" s="387">
        <f t="shared" si="4"/>
        <v>0</v>
      </c>
      <c r="X24" s="266"/>
      <c r="Y24" s="386"/>
      <c r="Z24" s="387">
        <f t="shared" si="5"/>
        <v>0</v>
      </c>
      <c r="AA24" s="266"/>
      <c r="AB24" s="386"/>
      <c r="AC24" s="387">
        <f t="shared" si="6"/>
        <v>0</v>
      </c>
      <c r="AD24" s="266"/>
      <c r="AE24" s="386"/>
      <c r="AF24" s="387">
        <f t="shared" si="7"/>
        <v>0</v>
      </c>
      <c r="AG24" s="266"/>
      <c r="AH24" s="386"/>
      <c r="AI24" s="387">
        <f t="shared" si="8"/>
        <v>0</v>
      </c>
      <c r="AJ24" s="266"/>
      <c r="AK24" s="386"/>
      <c r="AL24" s="387">
        <f t="shared" si="9"/>
        <v>0</v>
      </c>
      <c r="AM24" s="388">
        <f t="shared" si="0"/>
        <v>0</v>
      </c>
      <c r="AN24" s="386">
        <f t="shared" si="1"/>
        <v>0</v>
      </c>
      <c r="AO24" s="810">
        <f>SUM(AM24:AM28)</f>
        <v>0</v>
      </c>
      <c r="AP24" s="805">
        <f>SUM(AN24:AN28)</f>
        <v>0</v>
      </c>
      <c r="AQ24" s="811">
        <f>AO24-D24</f>
        <v>-460</v>
      </c>
      <c r="AR24" s="814">
        <f>AP24-G24</f>
        <v>-102589200</v>
      </c>
    </row>
    <row r="25" spans="1:44" ht="30">
      <c r="A25" s="797"/>
      <c r="B25" s="797"/>
      <c r="C25" s="808"/>
      <c r="D25" s="757"/>
      <c r="E25" s="757"/>
      <c r="F25" s="805"/>
      <c r="G25" s="805"/>
      <c r="H25" s="802"/>
      <c r="I25" s="268">
        <v>2</v>
      </c>
      <c r="J25" s="273" t="s">
        <v>452</v>
      </c>
      <c r="K25" s="268">
        <v>79958029</v>
      </c>
      <c r="L25" s="268"/>
      <c r="M25" s="268"/>
      <c r="N25" s="389" t="s">
        <v>453</v>
      </c>
      <c r="O25" s="266"/>
      <c r="P25" s="386"/>
      <c r="Q25" s="387">
        <f t="shared" si="2"/>
        <v>0</v>
      </c>
      <c r="R25" s="387"/>
      <c r="S25" s="386"/>
      <c r="T25" s="387">
        <f t="shared" si="3"/>
        <v>0</v>
      </c>
      <c r="U25" s="266"/>
      <c r="V25" s="386"/>
      <c r="W25" s="387">
        <f t="shared" si="4"/>
        <v>0</v>
      </c>
      <c r="X25" s="266"/>
      <c r="Y25" s="386"/>
      <c r="Z25" s="387">
        <f t="shared" si="5"/>
        <v>0</v>
      </c>
      <c r="AA25" s="266"/>
      <c r="AB25" s="386"/>
      <c r="AC25" s="387">
        <f t="shared" si="6"/>
        <v>0</v>
      </c>
      <c r="AD25" s="266"/>
      <c r="AE25" s="386"/>
      <c r="AF25" s="387">
        <f t="shared" si="7"/>
        <v>0</v>
      </c>
      <c r="AG25" s="266"/>
      <c r="AH25" s="386"/>
      <c r="AI25" s="387">
        <f t="shared" si="8"/>
        <v>0</v>
      </c>
      <c r="AJ25" s="266"/>
      <c r="AK25" s="386"/>
      <c r="AL25" s="387">
        <f t="shared" si="9"/>
        <v>0</v>
      </c>
      <c r="AM25" s="388">
        <f t="shared" si="0"/>
        <v>0</v>
      </c>
      <c r="AN25" s="386">
        <f t="shared" si="1"/>
        <v>0</v>
      </c>
      <c r="AO25" s="810"/>
      <c r="AP25" s="805"/>
      <c r="AQ25" s="812"/>
      <c r="AR25" s="814"/>
    </row>
    <row r="26" spans="1:44">
      <c r="A26" s="797"/>
      <c r="B26" s="797"/>
      <c r="C26" s="808"/>
      <c r="D26" s="757"/>
      <c r="E26" s="757"/>
      <c r="F26" s="805"/>
      <c r="G26" s="805"/>
      <c r="H26" s="802"/>
      <c r="I26" s="268">
        <v>3</v>
      </c>
      <c r="J26" s="273" t="s">
        <v>454</v>
      </c>
      <c r="K26" s="268">
        <v>1030577228</v>
      </c>
      <c r="L26" s="268"/>
      <c r="M26" s="268"/>
      <c r="N26" s="389" t="s">
        <v>455</v>
      </c>
      <c r="O26" s="266"/>
      <c r="P26" s="386"/>
      <c r="Q26" s="387">
        <f t="shared" si="2"/>
        <v>0</v>
      </c>
      <c r="R26" s="387"/>
      <c r="S26" s="386"/>
      <c r="T26" s="387">
        <f t="shared" si="3"/>
        <v>0</v>
      </c>
      <c r="U26" s="266"/>
      <c r="V26" s="386"/>
      <c r="W26" s="387">
        <f t="shared" si="4"/>
        <v>0</v>
      </c>
      <c r="X26" s="266"/>
      <c r="Y26" s="386"/>
      <c r="Z26" s="387">
        <f t="shared" si="5"/>
        <v>0</v>
      </c>
      <c r="AA26" s="266"/>
      <c r="AB26" s="386"/>
      <c r="AC26" s="387">
        <f t="shared" si="6"/>
        <v>0</v>
      </c>
      <c r="AD26" s="266"/>
      <c r="AE26" s="386"/>
      <c r="AF26" s="387">
        <f t="shared" si="7"/>
        <v>0</v>
      </c>
      <c r="AG26" s="266"/>
      <c r="AH26" s="386"/>
      <c r="AI26" s="387">
        <f t="shared" si="8"/>
        <v>0</v>
      </c>
      <c r="AJ26" s="266"/>
      <c r="AK26" s="386"/>
      <c r="AL26" s="387">
        <f t="shared" si="9"/>
        <v>0</v>
      </c>
      <c r="AM26" s="388">
        <f t="shared" si="0"/>
        <v>0</v>
      </c>
      <c r="AN26" s="386">
        <f t="shared" si="1"/>
        <v>0</v>
      </c>
      <c r="AO26" s="810"/>
      <c r="AP26" s="805"/>
      <c r="AQ26" s="812"/>
      <c r="AR26" s="814"/>
    </row>
    <row r="27" spans="1:44" ht="20.25">
      <c r="A27" s="797"/>
      <c r="B27" s="797"/>
      <c r="C27" s="808"/>
      <c r="D27" s="757"/>
      <c r="E27" s="757"/>
      <c r="F27" s="805"/>
      <c r="G27" s="805"/>
      <c r="H27" s="802"/>
      <c r="I27" s="268">
        <v>4</v>
      </c>
      <c r="J27" s="273" t="s">
        <v>456</v>
      </c>
      <c r="K27" s="268">
        <v>80192293</v>
      </c>
      <c r="L27" s="268"/>
      <c r="M27" s="268"/>
      <c r="N27" s="389" t="s">
        <v>457</v>
      </c>
      <c r="O27" s="266"/>
      <c r="P27" s="386"/>
      <c r="Q27" s="387">
        <f t="shared" si="2"/>
        <v>0</v>
      </c>
      <c r="R27" s="387"/>
      <c r="S27" s="386"/>
      <c r="T27" s="387">
        <f t="shared" si="3"/>
        <v>0</v>
      </c>
      <c r="U27" s="266"/>
      <c r="V27" s="386"/>
      <c r="W27" s="387">
        <f t="shared" si="4"/>
        <v>0</v>
      </c>
      <c r="X27" s="266"/>
      <c r="Y27" s="386"/>
      <c r="Z27" s="387">
        <f t="shared" si="5"/>
        <v>0</v>
      </c>
      <c r="AA27" s="266"/>
      <c r="AB27" s="386"/>
      <c r="AC27" s="387">
        <f t="shared" si="6"/>
        <v>0</v>
      </c>
      <c r="AD27" s="266"/>
      <c r="AE27" s="386"/>
      <c r="AF27" s="387">
        <f t="shared" si="7"/>
        <v>0</v>
      </c>
      <c r="AG27" s="266"/>
      <c r="AH27" s="386"/>
      <c r="AI27" s="387">
        <f t="shared" si="8"/>
        <v>0</v>
      </c>
      <c r="AJ27" s="266"/>
      <c r="AK27" s="386"/>
      <c r="AL27" s="387">
        <f t="shared" si="9"/>
        <v>0</v>
      </c>
      <c r="AM27" s="388">
        <f t="shared" si="0"/>
        <v>0</v>
      </c>
      <c r="AN27" s="386">
        <f t="shared" si="1"/>
        <v>0</v>
      </c>
      <c r="AO27" s="810"/>
      <c r="AP27" s="805"/>
      <c r="AQ27" s="812"/>
      <c r="AR27" s="814"/>
    </row>
    <row r="28" spans="1:44" ht="20.25">
      <c r="A28" s="797"/>
      <c r="B28" s="667"/>
      <c r="C28" s="809"/>
      <c r="D28" s="757"/>
      <c r="E28" s="757"/>
      <c r="F28" s="805"/>
      <c r="G28" s="805"/>
      <c r="H28" s="803"/>
      <c r="I28" s="268">
        <v>5</v>
      </c>
      <c r="J28" s="273" t="s">
        <v>458</v>
      </c>
      <c r="K28" s="268">
        <v>1032445734</v>
      </c>
      <c r="L28" s="268"/>
      <c r="M28" s="268"/>
      <c r="N28" s="389" t="s">
        <v>459</v>
      </c>
      <c r="O28" s="266"/>
      <c r="P28" s="386"/>
      <c r="Q28" s="387">
        <f t="shared" si="2"/>
        <v>0</v>
      </c>
      <c r="R28" s="387"/>
      <c r="S28" s="386"/>
      <c r="T28" s="387">
        <f t="shared" si="3"/>
        <v>0</v>
      </c>
      <c r="U28" s="266"/>
      <c r="V28" s="386"/>
      <c r="W28" s="387">
        <f t="shared" si="4"/>
        <v>0</v>
      </c>
      <c r="X28" s="266"/>
      <c r="Y28" s="386"/>
      <c r="Z28" s="387">
        <f t="shared" si="5"/>
        <v>0</v>
      </c>
      <c r="AA28" s="266"/>
      <c r="AB28" s="386"/>
      <c r="AC28" s="387">
        <f t="shared" si="6"/>
        <v>0</v>
      </c>
      <c r="AD28" s="266"/>
      <c r="AE28" s="386"/>
      <c r="AF28" s="387">
        <f t="shared" si="7"/>
        <v>0</v>
      </c>
      <c r="AG28" s="266"/>
      <c r="AH28" s="386"/>
      <c r="AI28" s="387">
        <f t="shared" si="8"/>
        <v>0</v>
      </c>
      <c r="AJ28" s="266"/>
      <c r="AK28" s="386"/>
      <c r="AL28" s="387">
        <f t="shared" si="9"/>
        <v>0</v>
      </c>
      <c r="AM28" s="388">
        <f t="shared" si="0"/>
        <v>0</v>
      </c>
      <c r="AN28" s="386">
        <f t="shared" si="1"/>
        <v>0</v>
      </c>
      <c r="AO28" s="810"/>
      <c r="AP28" s="805"/>
      <c r="AQ28" s="813"/>
      <c r="AR28" s="815"/>
    </row>
    <row r="29" spans="1:44" ht="39.75">
      <c r="A29" s="797"/>
      <c r="B29" s="666" t="s">
        <v>146</v>
      </c>
      <c r="C29" s="807" t="s">
        <v>176</v>
      </c>
      <c r="D29" s="675">
        <v>1600</v>
      </c>
      <c r="E29" s="675">
        <v>10</v>
      </c>
      <c r="F29" s="764">
        <v>175634</v>
      </c>
      <c r="G29" s="766">
        <f>F29*D29</f>
        <v>281014400</v>
      </c>
      <c r="H29" s="801">
        <f>D29/E29</f>
        <v>160</v>
      </c>
      <c r="I29" s="268">
        <v>1</v>
      </c>
      <c r="J29" s="273" t="s">
        <v>460</v>
      </c>
      <c r="K29" s="268">
        <v>16770145</v>
      </c>
      <c r="L29" s="268"/>
      <c r="M29" s="268"/>
      <c r="N29" s="389" t="s">
        <v>461</v>
      </c>
      <c r="O29" s="266"/>
      <c r="P29" s="386"/>
      <c r="Q29" s="387">
        <f t="shared" si="2"/>
        <v>0</v>
      </c>
      <c r="R29" s="387"/>
      <c r="S29" s="386"/>
      <c r="T29" s="387">
        <f t="shared" si="3"/>
        <v>0</v>
      </c>
      <c r="U29" s="266"/>
      <c r="V29" s="386"/>
      <c r="W29" s="387">
        <f t="shared" si="4"/>
        <v>0</v>
      </c>
      <c r="X29" s="266"/>
      <c r="Y29" s="386"/>
      <c r="Z29" s="387">
        <f t="shared" si="5"/>
        <v>0</v>
      </c>
      <c r="AA29" s="266"/>
      <c r="AB29" s="386"/>
      <c r="AC29" s="387">
        <f t="shared" si="6"/>
        <v>0</v>
      </c>
      <c r="AD29" s="266"/>
      <c r="AE29" s="386"/>
      <c r="AF29" s="387">
        <f t="shared" si="7"/>
        <v>0</v>
      </c>
      <c r="AG29" s="266"/>
      <c r="AH29" s="386"/>
      <c r="AI29" s="387">
        <f t="shared" si="8"/>
        <v>0</v>
      </c>
      <c r="AJ29" s="266"/>
      <c r="AK29" s="386"/>
      <c r="AL29" s="387">
        <f t="shared" si="9"/>
        <v>0</v>
      </c>
      <c r="AM29" s="388">
        <f t="shared" si="0"/>
        <v>0</v>
      </c>
      <c r="AN29" s="386">
        <f t="shared" si="1"/>
        <v>0</v>
      </c>
      <c r="AO29" s="765">
        <f>SUM(AM29:AM38)</f>
        <v>0</v>
      </c>
      <c r="AP29" s="766">
        <f>SUM(AN29:AN38)</f>
        <v>0</v>
      </c>
      <c r="AQ29" s="753">
        <f t="shared" ref="AQ29:AQ60" si="10">AO29-D29</f>
        <v>-1600</v>
      </c>
      <c r="AR29" s="755">
        <f t="shared" ref="AR29:AR60" si="11">AP29-G29</f>
        <v>-281014400</v>
      </c>
    </row>
    <row r="30" spans="1:44">
      <c r="A30" s="797"/>
      <c r="B30" s="797"/>
      <c r="C30" s="808"/>
      <c r="D30" s="757"/>
      <c r="E30" s="757"/>
      <c r="F30" s="769"/>
      <c r="G30" s="752"/>
      <c r="H30" s="802"/>
      <c r="I30" s="268">
        <v>2</v>
      </c>
      <c r="J30" s="273" t="s">
        <v>462</v>
      </c>
      <c r="K30" s="268">
        <v>1022403762</v>
      </c>
      <c r="L30" s="268"/>
      <c r="M30" s="268"/>
      <c r="N30" s="389"/>
      <c r="O30" s="266"/>
      <c r="P30" s="386"/>
      <c r="Q30" s="387">
        <f t="shared" si="2"/>
        <v>0</v>
      </c>
      <c r="R30" s="387"/>
      <c r="S30" s="386"/>
      <c r="T30" s="387">
        <f t="shared" si="3"/>
        <v>0</v>
      </c>
      <c r="U30" s="266"/>
      <c r="V30" s="386"/>
      <c r="W30" s="387">
        <f t="shared" si="4"/>
        <v>0</v>
      </c>
      <c r="X30" s="266"/>
      <c r="Y30" s="386"/>
      <c r="Z30" s="387">
        <f t="shared" si="5"/>
        <v>0</v>
      </c>
      <c r="AA30" s="266"/>
      <c r="AB30" s="386"/>
      <c r="AC30" s="387">
        <f t="shared" si="6"/>
        <v>0</v>
      </c>
      <c r="AD30" s="266"/>
      <c r="AE30" s="386"/>
      <c r="AF30" s="387">
        <f t="shared" si="7"/>
        <v>0</v>
      </c>
      <c r="AG30" s="266"/>
      <c r="AH30" s="386"/>
      <c r="AI30" s="387">
        <f t="shared" si="8"/>
        <v>0</v>
      </c>
      <c r="AJ30" s="266"/>
      <c r="AK30" s="386"/>
      <c r="AL30" s="387">
        <f t="shared" si="9"/>
        <v>0</v>
      </c>
      <c r="AM30" s="388">
        <f t="shared" si="0"/>
        <v>0</v>
      </c>
      <c r="AN30" s="386">
        <f t="shared" si="1"/>
        <v>0</v>
      </c>
      <c r="AO30" s="751"/>
      <c r="AP30" s="752"/>
      <c r="AQ30" s="754"/>
      <c r="AR30" s="756"/>
    </row>
    <row r="31" spans="1:44" ht="20.25">
      <c r="A31" s="797"/>
      <c r="B31" s="797"/>
      <c r="C31" s="808"/>
      <c r="D31" s="757"/>
      <c r="E31" s="757"/>
      <c r="F31" s="769"/>
      <c r="G31" s="752"/>
      <c r="H31" s="802"/>
      <c r="I31" s="268">
        <v>3</v>
      </c>
      <c r="J31" s="273" t="s">
        <v>463</v>
      </c>
      <c r="K31" s="268">
        <v>1032377700</v>
      </c>
      <c r="L31" s="268"/>
      <c r="M31" s="268"/>
      <c r="N31" s="389" t="s">
        <v>464</v>
      </c>
      <c r="O31" s="266"/>
      <c r="P31" s="386"/>
      <c r="Q31" s="387">
        <f t="shared" si="2"/>
        <v>0</v>
      </c>
      <c r="R31" s="387"/>
      <c r="S31" s="386"/>
      <c r="T31" s="387">
        <f t="shared" si="3"/>
        <v>0</v>
      </c>
      <c r="U31" s="266"/>
      <c r="V31" s="386"/>
      <c r="W31" s="387">
        <f t="shared" si="4"/>
        <v>0</v>
      </c>
      <c r="X31" s="266"/>
      <c r="Y31" s="386"/>
      <c r="Z31" s="387">
        <f t="shared" si="5"/>
        <v>0</v>
      </c>
      <c r="AA31" s="266"/>
      <c r="AB31" s="386"/>
      <c r="AC31" s="387">
        <f t="shared" si="6"/>
        <v>0</v>
      </c>
      <c r="AD31" s="266"/>
      <c r="AE31" s="386"/>
      <c r="AF31" s="387">
        <f t="shared" si="7"/>
        <v>0</v>
      </c>
      <c r="AG31" s="266"/>
      <c r="AH31" s="386"/>
      <c r="AI31" s="387">
        <f t="shared" si="8"/>
        <v>0</v>
      </c>
      <c r="AJ31" s="266"/>
      <c r="AK31" s="386"/>
      <c r="AL31" s="387">
        <f t="shared" si="9"/>
        <v>0</v>
      </c>
      <c r="AM31" s="388">
        <f t="shared" si="0"/>
        <v>0</v>
      </c>
      <c r="AN31" s="386">
        <f t="shared" si="1"/>
        <v>0</v>
      </c>
      <c r="AO31" s="751"/>
      <c r="AP31" s="752"/>
      <c r="AQ31" s="754"/>
      <c r="AR31" s="756"/>
    </row>
    <row r="32" spans="1:44" ht="30">
      <c r="A32" s="797"/>
      <c r="B32" s="797"/>
      <c r="C32" s="808"/>
      <c r="D32" s="757"/>
      <c r="E32" s="757"/>
      <c r="F32" s="769"/>
      <c r="G32" s="752"/>
      <c r="H32" s="802"/>
      <c r="I32" s="268">
        <v>4</v>
      </c>
      <c r="J32" s="273" t="s">
        <v>465</v>
      </c>
      <c r="K32" s="268">
        <v>79454554</v>
      </c>
      <c r="L32" s="268"/>
      <c r="M32" s="268"/>
      <c r="N32" s="389" t="s">
        <v>466</v>
      </c>
      <c r="O32" s="266"/>
      <c r="P32" s="386"/>
      <c r="Q32" s="387">
        <f t="shared" si="2"/>
        <v>0</v>
      </c>
      <c r="R32" s="387"/>
      <c r="S32" s="386"/>
      <c r="T32" s="387">
        <f t="shared" si="3"/>
        <v>0</v>
      </c>
      <c r="U32" s="266"/>
      <c r="V32" s="386"/>
      <c r="W32" s="387">
        <f t="shared" si="4"/>
        <v>0</v>
      </c>
      <c r="X32" s="266"/>
      <c r="Y32" s="386"/>
      <c r="Z32" s="387">
        <f t="shared" si="5"/>
        <v>0</v>
      </c>
      <c r="AA32" s="266"/>
      <c r="AB32" s="386"/>
      <c r="AC32" s="387">
        <f t="shared" si="6"/>
        <v>0</v>
      </c>
      <c r="AD32" s="266"/>
      <c r="AE32" s="386"/>
      <c r="AF32" s="387">
        <f t="shared" si="7"/>
        <v>0</v>
      </c>
      <c r="AG32" s="266"/>
      <c r="AH32" s="386"/>
      <c r="AI32" s="387">
        <f t="shared" si="8"/>
        <v>0</v>
      </c>
      <c r="AJ32" s="266"/>
      <c r="AK32" s="386"/>
      <c r="AL32" s="387">
        <f t="shared" si="9"/>
        <v>0</v>
      </c>
      <c r="AM32" s="388">
        <f t="shared" si="0"/>
        <v>0</v>
      </c>
      <c r="AN32" s="386">
        <f t="shared" si="1"/>
        <v>0</v>
      </c>
      <c r="AO32" s="751"/>
      <c r="AP32" s="752"/>
      <c r="AQ32" s="754"/>
      <c r="AR32" s="756"/>
    </row>
    <row r="33" spans="1:44">
      <c r="A33" s="797"/>
      <c r="B33" s="797"/>
      <c r="C33" s="808"/>
      <c r="D33" s="757"/>
      <c r="E33" s="757"/>
      <c r="F33" s="769"/>
      <c r="G33" s="752"/>
      <c r="H33" s="802"/>
      <c r="I33" s="268">
        <v>5</v>
      </c>
      <c r="J33" s="273" t="s">
        <v>467</v>
      </c>
      <c r="K33" s="268">
        <v>1022929259</v>
      </c>
      <c r="L33" s="268"/>
      <c r="M33" s="268"/>
      <c r="N33" s="389" t="s">
        <v>468</v>
      </c>
      <c r="O33" s="266"/>
      <c r="P33" s="386"/>
      <c r="Q33" s="387">
        <f t="shared" si="2"/>
        <v>0</v>
      </c>
      <c r="R33" s="387"/>
      <c r="S33" s="386"/>
      <c r="T33" s="387">
        <f t="shared" si="3"/>
        <v>0</v>
      </c>
      <c r="U33" s="266"/>
      <c r="V33" s="386"/>
      <c r="W33" s="387">
        <f t="shared" si="4"/>
        <v>0</v>
      </c>
      <c r="X33" s="266"/>
      <c r="Y33" s="386"/>
      <c r="Z33" s="387">
        <f t="shared" si="5"/>
        <v>0</v>
      </c>
      <c r="AA33" s="266"/>
      <c r="AB33" s="386"/>
      <c r="AC33" s="387">
        <f t="shared" si="6"/>
        <v>0</v>
      </c>
      <c r="AD33" s="266"/>
      <c r="AE33" s="386"/>
      <c r="AF33" s="387">
        <f t="shared" si="7"/>
        <v>0</v>
      </c>
      <c r="AG33" s="266"/>
      <c r="AH33" s="386"/>
      <c r="AI33" s="387">
        <f t="shared" si="8"/>
        <v>0</v>
      </c>
      <c r="AJ33" s="266"/>
      <c r="AK33" s="386"/>
      <c r="AL33" s="387">
        <f t="shared" si="9"/>
        <v>0</v>
      </c>
      <c r="AM33" s="388">
        <f t="shared" si="0"/>
        <v>0</v>
      </c>
      <c r="AN33" s="386">
        <f t="shared" si="1"/>
        <v>0</v>
      </c>
      <c r="AO33" s="751"/>
      <c r="AP33" s="752"/>
      <c r="AQ33" s="754"/>
      <c r="AR33" s="756"/>
    </row>
    <row r="34" spans="1:44">
      <c r="A34" s="797"/>
      <c r="B34" s="797"/>
      <c r="C34" s="808"/>
      <c r="D34" s="757"/>
      <c r="E34" s="757"/>
      <c r="F34" s="769"/>
      <c r="G34" s="752"/>
      <c r="H34" s="802"/>
      <c r="I34" s="268">
        <v>6</v>
      </c>
      <c r="J34" s="273" t="s">
        <v>469</v>
      </c>
      <c r="K34" s="268">
        <v>80252505</v>
      </c>
      <c r="L34" s="268"/>
      <c r="M34" s="268"/>
      <c r="N34" s="389" t="s">
        <v>455</v>
      </c>
      <c r="O34" s="266"/>
      <c r="P34" s="386"/>
      <c r="Q34" s="387">
        <f t="shared" si="2"/>
        <v>0</v>
      </c>
      <c r="R34" s="387"/>
      <c r="S34" s="386"/>
      <c r="T34" s="387">
        <f t="shared" si="3"/>
        <v>0</v>
      </c>
      <c r="U34" s="266"/>
      <c r="V34" s="386"/>
      <c r="W34" s="387">
        <f t="shared" si="4"/>
        <v>0</v>
      </c>
      <c r="X34" s="266"/>
      <c r="Y34" s="386"/>
      <c r="Z34" s="387">
        <f t="shared" si="5"/>
        <v>0</v>
      </c>
      <c r="AA34" s="266"/>
      <c r="AB34" s="386"/>
      <c r="AC34" s="387">
        <f t="shared" si="6"/>
        <v>0</v>
      </c>
      <c r="AD34" s="266"/>
      <c r="AE34" s="386"/>
      <c r="AF34" s="387">
        <f t="shared" si="7"/>
        <v>0</v>
      </c>
      <c r="AG34" s="266"/>
      <c r="AH34" s="386"/>
      <c r="AI34" s="387">
        <f t="shared" si="8"/>
        <v>0</v>
      </c>
      <c r="AJ34" s="266"/>
      <c r="AK34" s="386"/>
      <c r="AL34" s="387">
        <f t="shared" si="9"/>
        <v>0</v>
      </c>
      <c r="AM34" s="388">
        <f t="shared" si="0"/>
        <v>0</v>
      </c>
      <c r="AN34" s="386">
        <f t="shared" si="1"/>
        <v>0</v>
      </c>
      <c r="AO34" s="751"/>
      <c r="AP34" s="752"/>
      <c r="AQ34" s="754">
        <f t="shared" ref="AQ34:AQ65" si="12">AO34-D34</f>
        <v>0</v>
      </c>
      <c r="AR34" s="756">
        <f t="shared" ref="AR34:AR65" si="13">AP34-G34</f>
        <v>0</v>
      </c>
    </row>
    <row r="35" spans="1:44" ht="20.25">
      <c r="A35" s="797"/>
      <c r="B35" s="797"/>
      <c r="C35" s="808"/>
      <c r="D35" s="757"/>
      <c r="E35" s="757"/>
      <c r="F35" s="769"/>
      <c r="G35" s="752"/>
      <c r="H35" s="802"/>
      <c r="I35" s="268">
        <v>7</v>
      </c>
      <c r="J35" s="273" t="s">
        <v>470</v>
      </c>
      <c r="K35" s="268">
        <v>1073681008</v>
      </c>
      <c r="L35" s="268"/>
      <c r="M35" s="268"/>
      <c r="N35" s="389" t="s">
        <v>464</v>
      </c>
      <c r="O35" s="266"/>
      <c r="P35" s="386"/>
      <c r="Q35" s="387">
        <f t="shared" si="2"/>
        <v>0</v>
      </c>
      <c r="R35" s="387"/>
      <c r="S35" s="386"/>
      <c r="T35" s="387">
        <f t="shared" si="3"/>
        <v>0</v>
      </c>
      <c r="U35" s="266"/>
      <c r="V35" s="386"/>
      <c r="W35" s="387">
        <f t="shared" si="4"/>
        <v>0</v>
      </c>
      <c r="X35" s="266"/>
      <c r="Y35" s="386"/>
      <c r="Z35" s="387">
        <f t="shared" si="5"/>
        <v>0</v>
      </c>
      <c r="AA35" s="266"/>
      <c r="AB35" s="386"/>
      <c r="AC35" s="387">
        <f t="shared" si="6"/>
        <v>0</v>
      </c>
      <c r="AD35" s="266"/>
      <c r="AE35" s="386"/>
      <c r="AF35" s="387">
        <f t="shared" si="7"/>
        <v>0</v>
      </c>
      <c r="AG35" s="266"/>
      <c r="AH35" s="386"/>
      <c r="AI35" s="387">
        <f t="shared" si="8"/>
        <v>0</v>
      </c>
      <c r="AJ35" s="266"/>
      <c r="AK35" s="386"/>
      <c r="AL35" s="387">
        <f t="shared" si="9"/>
        <v>0</v>
      </c>
      <c r="AM35" s="388">
        <f t="shared" si="0"/>
        <v>0</v>
      </c>
      <c r="AN35" s="386">
        <f t="shared" si="1"/>
        <v>0</v>
      </c>
      <c r="AO35" s="751"/>
      <c r="AP35" s="752"/>
      <c r="AQ35" s="754"/>
      <c r="AR35" s="756"/>
    </row>
    <row r="36" spans="1:44" ht="39.75">
      <c r="A36" s="797"/>
      <c r="B36" s="797"/>
      <c r="C36" s="808"/>
      <c r="D36" s="757"/>
      <c r="E36" s="757"/>
      <c r="F36" s="769"/>
      <c r="G36" s="752"/>
      <c r="H36" s="802"/>
      <c r="I36" s="268">
        <v>8</v>
      </c>
      <c r="J36" s="273" t="s">
        <v>471</v>
      </c>
      <c r="K36" s="268">
        <v>80061386</v>
      </c>
      <c r="L36" s="268"/>
      <c r="M36" s="268"/>
      <c r="N36" s="389" t="s">
        <v>472</v>
      </c>
      <c r="O36" s="266"/>
      <c r="P36" s="386"/>
      <c r="Q36" s="387">
        <f t="shared" si="2"/>
        <v>0</v>
      </c>
      <c r="R36" s="387"/>
      <c r="S36" s="386"/>
      <c r="T36" s="387">
        <f t="shared" si="3"/>
        <v>0</v>
      </c>
      <c r="U36" s="266"/>
      <c r="V36" s="386"/>
      <c r="W36" s="387">
        <f t="shared" si="4"/>
        <v>0</v>
      </c>
      <c r="X36" s="266"/>
      <c r="Y36" s="386"/>
      <c r="Z36" s="387">
        <f t="shared" si="5"/>
        <v>0</v>
      </c>
      <c r="AA36" s="266"/>
      <c r="AB36" s="386"/>
      <c r="AC36" s="387">
        <f t="shared" si="6"/>
        <v>0</v>
      </c>
      <c r="AD36" s="266"/>
      <c r="AE36" s="386"/>
      <c r="AF36" s="387">
        <f t="shared" si="7"/>
        <v>0</v>
      </c>
      <c r="AG36" s="266"/>
      <c r="AH36" s="386"/>
      <c r="AI36" s="387">
        <f t="shared" si="8"/>
        <v>0</v>
      </c>
      <c r="AJ36" s="266"/>
      <c r="AK36" s="386"/>
      <c r="AL36" s="387">
        <f t="shared" si="9"/>
        <v>0</v>
      </c>
      <c r="AM36" s="388">
        <f t="shared" si="0"/>
        <v>0</v>
      </c>
      <c r="AN36" s="386">
        <f t="shared" si="1"/>
        <v>0</v>
      </c>
      <c r="AO36" s="751"/>
      <c r="AP36" s="752"/>
      <c r="AQ36" s="754"/>
      <c r="AR36" s="756"/>
    </row>
    <row r="37" spans="1:44">
      <c r="A37" s="797"/>
      <c r="B37" s="797"/>
      <c r="C37" s="808"/>
      <c r="D37" s="757"/>
      <c r="E37" s="757"/>
      <c r="F37" s="769"/>
      <c r="G37" s="752"/>
      <c r="H37" s="802"/>
      <c r="I37" s="268">
        <v>9</v>
      </c>
      <c r="J37" s="273" t="s">
        <v>473</v>
      </c>
      <c r="K37" s="268">
        <v>1020734454</v>
      </c>
      <c r="L37" s="268"/>
      <c r="M37" s="268"/>
      <c r="N37" s="389" t="s">
        <v>183</v>
      </c>
      <c r="O37" s="266"/>
      <c r="P37" s="386"/>
      <c r="Q37" s="387">
        <f t="shared" si="2"/>
        <v>0</v>
      </c>
      <c r="R37" s="387"/>
      <c r="S37" s="386"/>
      <c r="T37" s="387">
        <f t="shared" si="3"/>
        <v>0</v>
      </c>
      <c r="U37" s="266"/>
      <c r="V37" s="386"/>
      <c r="W37" s="387">
        <f t="shared" si="4"/>
        <v>0</v>
      </c>
      <c r="X37" s="266"/>
      <c r="Y37" s="386"/>
      <c r="Z37" s="387">
        <f t="shared" si="5"/>
        <v>0</v>
      </c>
      <c r="AA37" s="266"/>
      <c r="AB37" s="386"/>
      <c r="AC37" s="387">
        <f t="shared" si="6"/>
        <v>0</v>
      </c>
      <c r="AD37" s="266"/>
      <c r="AE37" s="386"/>
      <c r="AF37" s="387">
        <f t="shared" si="7"/>
        <v>0</v>
      </c>
      <c r="AG37" s="266"/>
      <c r="AH37" s="386"/>
      <c r="AI37" s="387">
        <f t="shared" si="8"/>
        <v>0</v>
      </c>
      <c r="AJ37" s="266"/>
      <c r="AK37" s="386"/>
      <c r="AL37" s="387">
        <f t="shared" si="9"/>
        <v>0</v>
      </c>
      <c r="AM37" s="388">
        <f t="shared" si="0"/>
        <v>0</v>
      </c>
      <c r="AN37" s="386">
        <f t="shared" si="1"/>
        <v>0</v>
      </c>
      <c r="AO37" s="751"/>
      <c r="AP37" s="752"/>
      <c r="AQ37" s="754"/>
      <c r="AR37" s="756"/>
    </row>
    <row r="38" spans="1:44" ht="11.25" customHeight="1">
      <c r="A38" s="806"/>
      <c r="B38" s="797"/>
      <c r="C38" s="808"/>
      <c r="D38" s="757"/>
      <c r="E38" s="674"/>
      <c r="F38" s="763"/>
      <c r="G38" s="755"/>
      <c r="H38" s="803"/>
      <c r="I38" s="268">
        <v>10</v>
      </c>
      <c r="J38" s="273"/>
      <c r="K38" s="268"/>
      <c r="L38" s="268"/>
      <c r="M38" s="268"/>
      <c r="N38" s="389"/>
      <c r="O38" s="266"/>
      <c r="P38" s="386"/>
      <c r="Q38" s="387">
        <f t="shared" si="2"/>
        <v>0</v>
      </c>
      <c r="R38" s="387"/>
      <c r="S38" s="386"/>
      <c r="T38" s="387">
        <f t="shared" si="3"/>
        <v>0</v>
      </c>
      <c r="U38" s="266"/>
      <c r="V38" s="386"/>
      <c r="W38" s="387">
        <f t="shared" si="4"/>
        <v>0</v>
      </c>
      <c r="X38" s="266"/>
      <c r="Y38" s="386"/>
      <c r="Z38" s="387">
        <f t="shared" si="5"/>
        <v>0</v>
      </c>
      <c r="AA38" s="266"/>
      <c r="AB38" s="386"/>
      <c r="AC38" s="387">
        <f t="shared" si="6"/>
        <v>0</v>
      </c>
      <c r="AD38" s="266"/>
      <c r="AE38" s="386"/>
      <c r="AF38" s="387">
        <f t="shared" si="7"/>
        <v>0</v>
      </c>
      <c r="AG38" s="266"/>
      <c r="AH38" s="386"/>
      <c r="AI38" s="387">
        <f t="shared" si="8"/>
        <v>0</v>
      </c>
      <c r="AJ38" s="266"/>
      <c r="AK38" s="386"/>
      <c r="AL38" s="387">
        <f t="shared" si="9"/>
        <v>0</v>
      </c>
      <c r="AM38" s="388">
        <f t="shared" si="0"/>
        <v>0</v>
      </c>
      <c r="AN38" s="386">
        <f t="shared" si="1"/>
        <v>0</v>
      </c>
      <c r="AO38" s="753"/>
      <c r="AP38" s="755"/>
      <c r="AQ38" s="765"/>
      <c r="AR38" s="766"/>
    </row>
    <row r="39" spans="1:44" ht="59.25">
      <c r="A39" s="794" t="s">
        <v>180</v>
      </c>
      <c r="B39" s="269" t="s">
        <v>181</v>
      </c>
      <c r="C39" s="270" t="s">
        <v>182</v>
      </c>
      <c r="D39" s="375">
        <v>818</v>
      </c>
      <c r="E39" s="215">
        <v>10</v>
      </c>
      <c r="F39" s="390">
        <v>175634</v>
      </c>
      <c r="G39" s="391">
        <f>F39*D39</f>
        <v>143668612</v>
      </c>
      <c r="H39" s="393">
        <f>D39/E39</f>
        <v>81.8</v>
      </c>
      <c r="I39" s="268">
        <v>10</v>
      </c>
      <c r="J39" s="273"/>
      <c r="K39" s="268"/>
      <c r="L39" s="268"/>
      <c r="M39" s="268"/>
      <c r="N39" s="389"/>
      <c r="O39" s="266"/>
      <c r="P39" s="386"/>
      <c r="Q39" s="387">
        <f t="shared" si="2"/>
        <v>0</v>
      </c>
      <c r="R39" s="387"/>
      <c r="S39" s="386"/>
      <c r="T39" s="387">
        <f t="shared" si="3"/>
        <v>0</v>
      </c>
      <c r="U39" s="266"/>
      <c r="V39" s="386"/>
      <c r="W39" s="387">
        <f t="shared" si="4"/>
        <v>0</v>
      </c>
      <c r="X39" s="266"/>
      <c r="Y39" s="386"/>
      <c r="Z39" s="387">
        <f t="shared" si="5"/>
        <v>0</v>
      </c>
      <c r="AA39" s="266"/>
      <c r="AB39" s="386"/>
      <c r="AC39" s="387">
        <f t="shared" si="6"/>
        <v>0</v>
      </c>
      <c r="AD39" s="266"/>
      <c r="AE39" s="386"/>
      <c r="AF39" s="387">
        <f t="shared" si="7"/>
        <v>0</v>
      </c>
      <c r="AG39" s="266"/>
      <c r="AH39" s="386"/>
      <c r="AI39" s="387">
        <f t="shared" si="8"/>
        <v>0</v>
      </c>
      <c r="AJ39" s="266"/>
      <c r="AK39" s="386"/>
      <c r="AL39" s="387">
        <f t="shared" si="9"/>
        <v>0</v>
      </c>
      <c r="AM39" s="388">
        <f>AJ39+AG39+AD39+AA39+X39+U39+R39+O39</f>
        <v>0</v>
      </c>
      <c r="AN39" s="386">
        <f t="shared" si="1"/>
        <v>0</v>
      </c>
      <c r="AO39" s="392">
        <f>AM39</f>
        <v>0</v>
      </c>
      <c r="AP39" s="391">
        <f>AN39</f>
        <v>0</v>
      </c>
      <c r="AQ39" s="392">
        <f t="shared" ref="AQ39:AQ70" si="14">AO39-D39</f>
        <v>-818</v>
      </c>
      <c r="AR39" s="391">
        <f t="shared" ref="AR39:AR70" si="15">AP39-G39</f>
        <v>-143668612</v>
      </c>
    </row>
    <row r="40" spans="1:44" ht="30">
      <c r="A40" s="795"/>
      <c r="B40" s="269" t="s">
        <v>187</v>
      </c>
      <c r="C40" s="270" t="s">
        <v>188</v>
      </c>
      <c r="D40" s="268">
        <v>765</v>
      </c>
      <c r="E40" s="215">
        <v>9</v>
      </c>
      <c r="F40" s="390">
        <v>175634</v>
      </c>
      <c r="G40" s="391">
        <f>F40*D40</f>
        <v>134360010</v>
      </c>
      <c r="H40" s="393">
        <f>D40/E40</f>
        <v>85</v>
      </c>
      <c r="I40" s="268">
        <v>9</v>
      </c>
      <c r="J40" s="273"/>
      <c r="K40" s="268"/>
      <c r="L40" s="268"/>
      <c r="M40" s="268"/>
      <c r="N40" s="389"/>
      <c r="O40" s="266"/>
      <c r="P40" s="386"/>
      <c r="Q40" s="387">
        <f t="shared" si="2"/>
        <v>0</v>
      </c>
      <c r="R40" s="387"/>
      <c r="S40" s="386"/>
      <c r="T40" s="387">
        <f t="shared" si="3"/>
        <v>0</v>
      </c>
      <c r="U40" s="266"/>
      <c r="V40" s="386"/>
      <c r="W40" s="387">
        <f t="shared" si="4"/>
        <v>0</v>
      </c>
      <c r="X40" s="266"/>
      <c r="Y40" s="386"/>
      <c r="Z40" s="387">
        <f t="shared" si="5"/>
        <v>0</v>
      </c>
      <c r="AA40" s="266"/>
      <c r="AB40" s="386"/>
      <c r="AC40" s="387">
        <f t="shared" si="6"/>
        <v>0</v>
      </c>
      <c r="AD40" s="266"/>
      <c r="AE40" s="386"/>
      <c r="AF40" s="387">
        <f t="shared" si="7"/>
        <v>0</v>
      </c>
      <c r="AG40" s="266"/>
      <c r="AH40" s="386"/>
      <c r="AI40" s="387">
        <f t="shared" si="8"/>
        <v>0</v>
      </c>
      <c r="AJ40" s="266"/>
      <c r="AK40" s="386"/>
      <c r="AL40" s="387">
        <f t="shared" si="9"/>
        <v>0</v>
      </c>
      <c r="AM40" s="388">
        <f t="shared" si="0"/>
        <v>0</v>
      </c>
      <c r="AN40" s="386">
        <f t="shared" si="1"/>
        <v>0</v>
      </c>
      <c r="AO40" s="392">
        <f>AM40</f>
        <v>0</v>
      </c>
      <c r="AP40" s="391">
        <f>AN40</f>
        <v>0</v>
      </c>
      <c r="AQ40" s="392">
        <f t="shared" si="14"/>
        <v>-765</v>
      </c>
      <c r="AR40" s="391">
        <f t="shared" si="15"/>
        <v>-134360010</v>
      </c>
    </row>
    <row r="41" spans="1:44">
      <c r="A41" s="795"/>
      <c r="B41" s="797" t="s">
        <v>58</v>
      </c>
      <c r="C41" s="798" t="s">
        <v>191</v>
      </c>
      <c r="D41" s="799">
        <v>1142</v>
      </c>
      <c r="E41" s="757">
        <v>10</v>
      </c>
      <c r="F41" s="769">
        <v>175634</v>
      </c>
      <c r="G41" s="752">
        <f>F41*D41</f>
        <v>200574028</v>
      </c>
      <c r="H41" s="758">
        <f>D41/E41</f>
        <v>114.2</v>
      </c>
      <c r="I41" s="800">
        <v>10</v>
      </c>
      <c r="J41" s="674"/>
      <c r="K41" s="674"/>
      <c r="L41" s="674"/>
      <c r="M41" s="674"/>
      <c r="N41" s="792"/>
      <c r="O41" s="789"/>
      <c r="P41" s="785"/>
      <c r="Q41" s="785">
        <f t="shared" si="2"/>
        <v>0</v>
      </c>
      <c r="R41" s="785"/>
      <c r="S41" s="785"/>
      <c r="T41" s="785">
        <f t="shared" si="3"/>
        <v>0</v>
      </c>
      <c r="U41" s="789"/>
      <c r="V41" s="785"/>
      <c r="W41" s="785">
        <f t="shared" si="4"/>
        <v>0</v>
      </c>
      <c r="X41" s="789"/>
      <c r="Y41" s="785"/>
      <c r="Z41" s="785">
        <f t="shared" si="5"/>
        <v>0</v>
      </c>
      <c r="AA41" s="789"/>
      <c r="AB41" s="785"/>
      <c r="AC41" s="785">
        <f>AA41*AB41</f>
        <v>0</v>
      </c>
      <c r="AD41" s="789"/>
      <c r="AE41" s="785"/>
      <c r="AF41" s="785">
        <f t="shared" si="7"/>
        <v>0</v>
      </c>
      <c r="AG41" s="789"/>
      <c r="AH41" s="785"/>
      <c r="AI41" s="785">
        <f t="shared" si="8"/>
        <v>0</v>
      </c>
      <c r="AJ41" s="789"/>
      <c r="AK41" s="785"/>
      <c r="AL41" s="785">
        <f>AJ41*AK41</f>
        <v>0</v>
      </c>
      <c r="AM41" s="787">
        <f t="shared" si="0"/>
        <v>0</v>
      </c>
      <c r="AN41" s="785">
        <f t="shared" si="1"/>
        <v>0</v>
      </c>
      <c r="AO41" s="751">
        <f>AM41</f>
        <v>0</v>
      </c>
      <c r="AP41" s="752">
        <f>AN41</f>
        <v>0</v>
      </c>
      <c r="AQ41" s="753">
        <f t="shared" si="14"/>
        <v>-1142</v>
      </c>
      <c r="AR41" s="755">
        <f t="shared" si="15"/>
        <v>-200574028</v>
      </c>
    </row>
    <row r="42" spans="1:44">
      <c r="A42" s="795"/>
      <c r="B42" s="797"/>
      <c r="C42" s="798"/>
      <c r="D42" s="702"/>
      <c r="E42" s="757"/>
      <c r="F42" s="769"/>
      <c r="G42" s="752"/>
      <c r="H42" s="759"/>
      <c r="I42" s="679"/>
      <c r="J42" s="675"/>
      <c r="K42" s="791"/>
      <c r="L42" s="791"/>
      <c r="M42" s="791"/>
      <c r="N42" s="793"/>
      <c r="O42" s="790"/>
      <c r="P42" s="786"/>
      <c r="Q42" s="786"/>
      <c r="R42" s="786"/>
      <c r="S42" s="786"/>
      <c r="T42" s="786"/>
      <c r="U42" s="790"/>
      <c r="V42" s="786"/>
      <c r="W42" s="786"/>
      <c r="X42" s="790"/>
      <c r="Y42" s="786"/>
      <c r="Z42" s="786"/>
      <c r="AA42" s="790"/>
      <c r="AB42" s="786"/>
      <c r="AC42" s="786"/>
      <c r="AD42" s="790"/>
      <c r="AE42" s="786"/>
      <c r="AF42" s="786"/>
      <c r="AG42" s="790"/>
      <c r="AH42" s="786"/>
      <c r="AI42" s="786"/>
      <c r="AJ42" s="790"/>
      <c r="AK42" s="786"/>
      <c r="AL42" s="786"/>
      <c r="AM42" s="788"/>
      <c r="AN42" s="786"/>
      <c r="AO42" s="751"/>
      <c r="AP42" s="752"/>
      <c r="AQ42" s="765">
        <f t="shared" si="14"/>
        <v>0</v>
      </c>
      <c r="AR42" s="766">
        <f t="shared" si="15"/>
        <v>0</v>
      </c>
    </row>
    <row r="43" spans="1:44" ht="11.25" customHeight="1">
      <c r="A43" s="795"/>
      <c r="B43" s="757" t="s">
        <v>66</v>
      </c>
      <c r="C43" s="778" t="s">
        <v>193</v>
      </c>
      <c r="D43" s="775">
        <f>200+40</f>
        <v>240</v>
      </c>
      <c r="E43" s="771">
        <v>3</v>
      </c>
      <c r="F43" s="769">
        <v>175634</v>
      </c>
      <c r="G43" s="752">
        <f>F43*D43</f>
        <v>42152160</v>
      </c>
      <c r="H43" s="782">
        <f>D43/E43</f>
        <v>80</v>
      </c>
      <c r="I43" s="269">
        <v>1</v>
      </c>
      <c r="J43" s="273" t="s">
        <v>474</v>
      </c>
      <c r="K43" s="269"/>
      <c r="L43" s="269"/>
      <c r="M43" s="269"/>
      <c r="N43" s="274"/>
      <c r="O43" s="396"/>
      <c r="P43" s="386"/>
      <c r="Q43" s="387">
        <f t="shared" si="2"/>
        <v>0</v>
      </c>
      <c r="R43" s="387"/>
      <c r="S43" s="386"/>
      <c r="T43" s="387">
        <f t="shared" si="3"/>
        <v>0</v>
      </c>
      <c r="U43" s="266"/>
      <c r="V43" s="386"/>
      <c r="W43" s="387">
        <f t="shared" si="4"/>
        <v>0</v>
      </c>
      <c r="X43" s="266"/>
      <c r="Y43" s="386"/>
      <c r="Z43" s="387">
        <f t="shared" si="5"/>
        <v>0</v>
      </c>
      <c r="AA43" s="266"/>
      <c r="AB43" s="386"/>
      <c r="AC43" s="387">
        <f t="shared" si="6"/>
        <v>0</v>
      </c>
      <c r="AD43" s="266"/>
      <c r="AE43" s="386"/>
      <c r="AF43" s="387">
        <f t="shared" si="7"/>
        <v>0</v>
      </c>
      <c r="AG43" s="266"/>
      <c r="AH43" s="386"/>
      <c r="AI43" s="387">
        <f t="shared" si="8"/>
        <v>0</v>
      </c>
      <c r="AJ43" s="266"/>
      <c r="AK43" s="386"/>
      <c r="AL43" s="387">
        <f>AJ43*AK43</f>
        <v>0</v>
      </c>
      <c r="AM43" s="388">
        <f t="shared" si="0"/>
        <v>0</v>
      </c>
      <c r="AN43" s="386">
        <f t="shared" si="1"/>
        <v>0</v>
      </c>
      <c r="AO43" s="751">
        <f>SUM(AM43:AM45)</f>
        <v>0</v>
      </c>
      <c r="AP43" s="752">
        <f>SUM(AN43:AN45)</f>
        <v>0</v>
      </c>
      <c r="AQ43" s="753">
        <f t="shared" si="14"/>
        <v>-240</v>
      </c>
      <c r="AR43" s="755">
        <f>AP43-G43</f>
        <v>-42152160</v>
      </c>
    </row>
    <row r="44" spans="1:44">
      <c r="A44" s="795"/>
      <c r="B44" s="757"/>
      <c r="C44" s="779"/>
      <c r="D44" s="773"/>
      <c r="E44" s="771"/>
      <c r="F44" s="769"/>
      <c r="G44" s="752"/>
      <c r="H44" s="783"/>
      <c r="I44" s="269">
        <v>2</v>
      </c>
      <c r="J44" s="397"/>
      <c r="K44" s="269"/>
      <c r="L44" s="269"/>
      <c r="M44" s="269"/>
      <c r="N44" s="274"/>
      <c r="O44" s="396"/>
      <c r="P44" s="386"/>
      <c r="Q44" s="387">
        <f t="shared" si="2"/>
        <v>0</v>
      </c>
      <c r="R44" s="387"/>
      <c r="S44" s="386"/>
      <c r="T44" s="387">
        <f t="shared" si="3"/>
        <v>0</v>
      </c>
      <c r="U44" s="266"/>
      <c r="V44" s="386"/>
      <c r="W44" s="387">
        <f t="shared" si="4"/>
        <v>0</v>
      </c>
      <c r="X44" s="266"/>
      <c r="Y44" s="386"/>
      <c r="Z44" s="387">
        <f t="shared" si="5"/>
        <v>0</v>
      </c>
      <c r="AA44" s="266"/>
      <c r="AB44" s="386"/>
      <c r="AC44" s="387">
        <f t="shared" si="6"/>
        <v>0</v>
      </c>
      <c r="AD44" s="266"/>
      <c r="AE44" s="386"/>
      <c r="AF44" s="387">
        <f t="shared" si="7"/>
        <v>0</v>
      </c>
      <c r="AG44" s="266"/>
      <c r="AH44" s="386"/>
      <c r="AI44" s="387">
        <f t="shared" si="8"/>
        <v>0</v>
      </c>
      <c r="AJ44" s="266"/>
      <c r="AK44" s="386"/>
      <c r="AL44" s="387">
        <f t="shared" si="9"/>
        <v>0</v>
      </c>
      <c r="AM44" s="388">
        <f t="shared" si="0"/>
        <v>0</v>
      </c>
      <c r="AN44" s="386">
        <f t="shared" si="1"/>
        <v>0</v>
      </c>
      <c r="AO44" s="751"/>
      <c r="AP44" s="752"/>
      <c r="AQ44" s="754"/>
      <c r="AR44" s="756"/>
    </row>
    <row r="45" spans="1:44">
      <c r="A45" s="795"/>
      <c r="B45" s="757"/>
      <c r="C45" s="770"/>
      <c r="D45" s="780"/>
      <c r="E45" s="771"/>
      <c r="F45" s="769"/>
      <c r="G45" s="752"/>
      <c r="H45" s="784"/>
      <c r="I45" s="269">
        <v>3</v>
      </c>
      <c r="J45" s="397"/>
      <c r="K45" s="269"/>
      <c r="L45" s="269"/>
      <c r="M45" s="269"/>
      <c r="N45" s="274"/>
      <c r="O45" s="396"/>
      <c r="P45" s="386"/>
      <c r="Q45" s="387">
        <f t="shared" si="2"/>
        <v>0</v>
      </c>
      <c r="R45" s="387"/>
      <c r="S45" s="386"/>
      <c r="T45" s="387">
        <f t="shared" si="3"/>
        <v>0</v>
      </c>
      <c r="U45" s="266"/>
      <c r="V45" s="386"/>
      <c r="W45" s="387">
        <f t="shared" si="4"/>
        <v>0</v>
      </c>
      <c r="X45" s="266"/>
      <c r="Y45" s="386"/>
      <c r="Z45" s="387">
        <f t="shared" si="5"/>
        <v>0</v>
      </c>
      <c r="AA45" s="266"/>
      <c r="AB45" s="386"/>
      <c r="AC45" s="387">
        <f t="shared" si="6"/>
        <v>0</v>
      </c>
      <c r="AD45" s="266"/>
      <c r="AE45" s="386"/>
      <c r="AF45" s="387">
        <f t="shared" si="7"/>
        <v>0</v>
      </c>
      <c r="AG45" s="266"/>
      <c r="AH45" s="386"/>
      <c r="AI45" s="387">
        <f t="shared" si="8"/>
        <v>0</v>
      </c>
      <c r="AJ45" s="266"/>
      <c r="AK45" s="386"/>
      <c r="AL45" s="387">
        <f t="shared" si="9"/>
        <v>0</v>
      </c>
      <c r="AM45" s="388">
        <f t="shared" si="0"/>
        <v>0</v>
      </c>
      <c r="AN45" s="386">
        <f t="shared" si="1"/>
        <v>0</v>
      </c>
      <c r="AO45" s="751"/>
      <c r="AP45" s="752"/>
      <c r="AQ45" s="765"/>
      <c r="AR45" s="766"/>
    </row>
    <row r="46" spans="1:44">
      <c r="A46" s="795"/>
      <c r="B46" s="757"/>
      <c r="C46" s="778" t="s">
        <v>198</v>
      </c>
      <c r="D46" s="775">
        <f>480+60</f>
        <v>540</v>
      </c>
      <c r="E46" s="771">
        <v>5</v>
      </c>
      <c r="F46" s="769">
        <v>175634</v>
      </c>
      <c r="G46" s="752">
        <f>F46*D46</f>
        <v>94842360</v>
      </c>
      <c r="H46" s="782">
        <f>D46/E46</f>
        <v>108</v>
      </c>
      <c r="I46" s="269">
        <v>1</v>
      </c>
      <c r="J46" s="397" t="s">
        <v>475</v>
      </c>
      <c r="K46" s="269"/>
      <c r="L46" s="269"/>
      <c r="M46" s="269"/>
      <c r="N46" s="274"/>
      <c r="O46" s="396"/>
      <c r="P46" s="386"/>
      <c r="Q46" s="387">
        <f t="shared" si="2"/>
        <v>0</v>
      </c>
      <c r="R46" s="387"/>
      <c r="S46" s="386"/>
      <c r="T46" s="387">
        <f t="shared" si="3"/>
        <v>0</v>
      </c>
      <c r="U46" s="266"/>
      <c r="V46" s="386"/>
      <c r="W46" s="387">
        <f t="shared" si="4"/>
        <v>0</v>
      </c>
      <c r="X46" s="266"/>
      <c r="Y46" s="386"/>
      <c r="Z46" s="387">
        <f t="shared" si="5"/>
        <v>0</v>
      </c>
      <c r="AA46" s="266"/>
      <c r="AB46" s="386"/>
      <c r="AC46" s="387">
        <f t="shared" si="6"/>
        <v>0</v>
      </c>
      <c r="AD46" s="266"/>
      <c r="AE46" s="386"/>
      <c r="AF46" s="387">
        <f t="shared" si="7"/>
        <v>0</v>
      </c>
      <c r="AG46" s="266"/>
      <c r="AH46" s="386"/>
      <c r="AI46" s="387">
        <f t="shared" si="8"/>
        <v>0</v>
      </c>
      <c r="AJ46" s="266"/>
      <c r="AK46" s="386"/>
      <c r="AL46" s="387">
        <f t="shared" si="9"/>
        <v>0</v>
      </c>
      <c r="AM46" s="388">
        <f t="shared" si="0"/>
        <v>0</v>
      </c>
      <c r="AN46" s="386">
        <f t="shared" si="1"/>
        <v>0</v>
      </c>
      <c r="AO46" s="751">
        <f>SUM(AM46:AM50)</f>
        <v>0</v>
      </c>
      <c r="AP46" s="752">
        <f>SUM(AN46:AN50)</f>
        <v>0</v>
      </c>
      <c r="AQ46" s="753">
        <f t="shared" ref="AQ46:AQ48" si="16">AO46-D46</f>
        <v>-540</v>
      </c>
      <c r="AR46" s="755">
        <f>AP46-G46</f>
        <v>-94842360</v>
      </c>
    </row>
    <row r="47" spans="1:44">
      <c r="A47" s="795"/>
      <c r="B47" s="757"/>
      <c r="C47" s="779"/>
      <c r="D47" s="773"/>
      <c r="E47" s="771"/>
      <c r="F47" s="769"/>
      <c r="G47" s="752"/>
      <c r="H47" s="783"/>
      <c r="I47" s="269">
        <v>2</v>
      </c>
      <c r="J47" s="397"/>
      <c r="K47" s="269"/>
      <c r="L47" s="269"/>
      <c r="M47" s="269"/>
      <c r="N47" s="274"/>
      <c r="O47" s="396"/>
      <c r="P47" s="386"/>
      <c r="Q47" s="387">
        <f t="shared" si="2"/>
        <v>0</v>
      </c>
      <c r="R47" s="387"/>
      <c r="S47" s="386"/>
      <c r="T47" s="387">
        <f t="shared" si="3"/>
        <v>0</v>
      </c>
      <c r="U47" s="266"/>
      <c r="V47" s="386"/>
      <c r="W47" s="387">
        <f t="shared" si="4"/>
        <v>0</v>
      </c>
      <c r="X47" s="266"/>
      <c r="Y47" s="386"/>
      <c r="Z47" s="387">
        <f t="shared" si="5"/>
        <v>0</v>
      </c>
      <c r="AA47" s="266"/>
      <c r="AB47" s="386"/>
      <c r="AC47" s="387">
        <f t="shared" si="6"/>
        <v>0</v>
      </c>
      <c r="AD47" s="266"/>
      <c r="AE47" s="386"/>
      <c r="AF47" s="387">
        <f t="shared" si="7"/>
        <v>0</v>
      </c>
      <c r="AG47" s="266"/>
      <c r="AH47" s="386"/>
      <c r="AI47" s="387">
        <f t="shared" si="8"/>
        <v>0</v>
      </c>
      <c r="AJ47" s="266"/>
      <c r="AK47" s="386"/>
      <c r="AL47" s="387">
        <f t="shared" si="9"/>
        <v>0</v>
      </c>
      <c r="AM47" s="388">
        <f t="shared" si="0"/>
        <v>0</v>
      </c>
      <c r="AN47" s="386">
        <f t="shared" si="1"/>
        <v>0</v>
      </c>
      <c r="AO47" s="751"/>
      <c r="AP47" s="752"/>
      <c r="AQ47" s="754"/>
      <c r="AR47" s="756"/>
    </row>
    <row r="48" spans="1:44">
      <c r="A48" s="795"/>
      <c r="B48" s="757"/>
      <c r="C48" s="779"/>
      <c r="D48" s="773"/>
      <c r="E48" s="771"/>
      <c r="F48" s="769"/>
      <c r="G48" s="752"/>
      <c r="H48" s="783"/>
      <c r="I48" s="269">
        <v>3</v>
      </c>
      <c r="J48" s="397"/>
      <c r="K48" s="269"/>
      <c r="L48" s="269"/>
      <c r="M48" s="269"/>
      <c r="N48" s="274"/>
      <c r="O48" s="396"/>
      <c r="P48" s="386"/>
      <c r="Q48" s="387">
        <f t="shared" si="2"/>
        <v>0</v>
      </c>
      <c r="R48" s="387"/>
      <c r="S48" s="386"/>
      <c r="T48" s="387">
        <f t="shared" si="3"/>
        <v>0</v>
      </c>
      <c r="U48" s="266"/>
      <c r="V48" s="386"/>
      <c r="W48" s="387">
        <f t="shared" si="4"/>
        <v>0</v>
      </c>
      <c r="X48" s="266"/>
      <c r="Y48" s="386"/>
      <c r="Z48" s="387">
        <f t="shared" si="5"/>
        <v>0</v>
      </c>
      <c r="AA48" s="266"/>
      <c r="AB48" s="386"/>
      <c r="AC48" s="387">
        <f t="shared" si="6"/>
        <v>0</v>
      </c>
      <c r="AD48" s="266"/>
      <c r="AE48" s="386"/>
      <c r="AF48" s="387">
        <f t="shared" si="7"/>
        <v>0</v>
      </c>
      <c r="AG48" s="266"/>
      <c r="AH48" s="386"/>
      <c r="AI48" s="387">
        <f t="shared" si="8"/>
        <v>0</v>
      </c>
      <c r="AJ48" s="266"/>
      <c r="AK48" s="386"/>
      <c r="AL48" s="387">
        <f t="shared" si="9"/>
        <v>0</v>
      </c>
      <c r="AM48" s="388">
        <f t="shared" si="0"/>
        <v>0</v>
      </c>
      <c r="AN48" s="386">
        <f t="shared" si="1"/>
        <v>0</v>
      </c>
      <c r="AO48" s="751"/>
      <c r="AP48" s="752"/>
      <c r="AQ48" s="754"/>
      <c r="AR48" s="756"/>
    </row>
    <row r="49" spans="1:44">
      <c r="A49" s="795"/>
      <c r="B49" s="757"/>
      <c r="C49" s="779"/>
      <c r="D49" s="773"/>
      <c r="E49" s="771"/>
      <c r="F49" s="769"/>
      <c r="G49" s="752"/>
      <c r="H49" s="783"/>
      <c r="I49" s="269">
        <v>4</v>
      </c>
      <c r="J49" s="397"/>
      <c r="K49" s="269"/>
      <c r="L49" s="269"/>
      <c r="M49" s="269"/>
      <c r="N49" s="274"/>
      <c r="O49" s="396"/>
      <c r="P49" s="386"/>
      <c r="Q49" s="387">
        <f t="shared" si="2"/>
        <v>0</v>
      </c>
      <c r="R49" s="387"/>
      <c r="S49" s="386"/>
      <c r="T49" s="387">
        <f t="shared" si="3"/>
        <v>0</v>
      </c>
      <c r="U49" s="266"/>
      <c r="V49" s="386"/>
      <c r="W49" s="387">
        <f t="shared" si="4"/>
        <v>0</v>
      </c>
      <c r="X49" s="266"/>
      <c r="Y49" s="386"/>
      <c r="Z49" s="387">
        <f t="shared" si="5"/>
        <v>0</v>
      </c>
      <c r="AA49" s="266"/>
      <c r="AB49" s="386"/>
      <c r="AC49" s="387">
        <f t="shared" si="6"/>
        <v>0</v>
      </c>
      <c r="AD49" s="266"/>
      <c r="AE49" s="386"/>
      <c r="AF49" s="387">
        <f t="shared" si="7"/>
        <v>0</v>
      </c>
      <c r="AG49" s="266"/>
      <c r="AH49" s="386"/>
      <c r="AI49" s="387">
        <f t="shared" si="8"/>
        <v>0</v>
      </c>
      <c r="AJ49" s="266"/>
      <c r="AK49" s="386"/>
      <c r="AL49" s="387">
        <f t="shared" si="9"/>
        <v>0</v>
      </c>
      <c r="AM49" s="388">
        <f t="shared" si="0"/>
        <v>0</v>
      </c>
      <c r="AN49" s="386">
        <f t="shared" si="1"/>
        <v>0</v>
      </c>
      <c r="AO49" s="751"/>
      <c r="AP49" s="752"/>
      <c r="AQ49" s="754"/>
      <c r="AR49" s="756"/>
    </row>
    <row r="50" spans="1:44">
      <c r="A50" s="795"/>
      <c r="B50" s="757"/>
      <c r="C50" s="770"/>
      <c r="D50" s="780"/>
      <c r="E50" s="771"/>
      <c r="F50" s="769"/>
      <c r="G50" s="752"/>
      <c r="H50" s="784"/>
      <c r="I50" s="269">
        <v>5</v>
      </c>
      <c r="J50" s="397"/>
      <c r="K50" s="269"/>
      <c r="L50" s="269"/>
      <c r="M50" s="269"/>
      <c r="N50" s="274"/>
      <c r="O50" s="396"/>
      <c r="P50" s="386"/>
      <c r="Q50" s="387">
        <f t="shared" si="2"/>
        <v>0</v>
      </c>
      <c r="R50" s="387"/>
      <c r="S50" s="386"/>
      <c r="T50" s="387">
        <f t="shared" si="3"/>
        <v>0</v>
      </c>
      <c r="U50" s="266"/>
      <c r="V50" s="386"/>
      <c r="W50" s="387">
        <f t="shared" si="4"/>
        <v>0</v>
      </c>
      <c r="X50" s="266"/>
      <c r="Y50" s="386"/>
      <c r="Z50" s="387">
        <f t="shared" si="5"/>
        <v>0</v>
      </c>
      <c r="AA50" s="266"/>
      <c r="AB50" s="386"/>
      <c r="AC50" s="387">
        <f t="shared" si="6"/>
        <v>0</v>
      </c>
      <c r="AD50" s="266"/>
      <c r="AE50" s="386"/>
      <c r="AF50" s="387">
        <f t="shared" si="7"/>
        <v>0</v>
      </c>
      <c r="AG50" s="266"/>
      <c r="AH50" s="386"/>
      <c r="AI50" s="387">
        <f t="shared" si="8"/>
        <v>0</v>
      </c>
      <c r="AJ50" s="266"/>
      <c r="AK50" s="386"/>
      <c r="AL50" s="387">
        <f t="shared" si="9"/>
        <v>0</v>
      </c>
      <c r="AM50" s="388">
        <f t="shared" si="0"/>
        <v>0</v>
      </c>
      <c r="AN50" s="386">
        <f t="shared" si="1"/>
        <v>0</v>
      </c>
      <c r="AO50" s="751"/>
      <c r="AP50" s="752"/>
      <c r="AQ50" s="765"/>
      <c r="AR50" s="766"/>
    </row>
    <row r="51" spans="1:44" ht="11.25" customHeight="1">
      <c r="A51" s="795"/>
      <c r="B51" s="757"/>
      <c r="C51" s="778" t="s">
        <v>201</v>
      </c>
      <c r="D51" s="775">
        <f>762+84</f>
        <v>846</v>
      </c>
      <c r="E51" s="771">
        <v>6</v>
      </c>
      <c r="F51" s="769">
        <v>175634</v>
      </c>
      <c r="G51" s="752">
        <f>F51*D51</f>
        <v>148586364</v>
      </c>
      <c r="H51" s="782">
        <f>D51/E51</f>
        <v>141</v>
      </c>
      <c r="I51" s="269">
        <v>1</v>
      </c>
      <c r="J51" s="397" t="s">
        <v>476</v>
      </c>
      <c r="K51" s="269"/>
      <c r="L51" s="269"/>
      <c r="M51" s="269"/>
      <c r="N51" s="274"/>
      <c r="O51" s="396"/>
      <c r="P51" s="386"/>
      <c r="Q51" s="387">
        <f t="shared" si="2"/>
        <v>0</v>
      </c>
      <c r="R51" s="387"/>
      <c r="S51" s="386"/>
      <c r="T51" s="387">
        <f t="shared" si="3"/>
        <v>0</v>
      </c>
      <c r="U51" s="266"/>
      <c r="V51" s="386"/>
      <c r="W51" s="387">
        <f t="shared" si="4"/>
        <v>0</v>
      </c>
      <c r="X51" s="266"/>
      <c r="Y51" s="386"/>
      <c r="Z51" s="387">
        <f t="shared" si="5"/>
        <v>0</v>
      </c>
      <c r="AA51" s="266"/>
      <c r="AB51" s="386"/>
      <c r="AC51" s="387">
        <f t="shared" si="6"/>
        <v>0</v>
      </c>
      <c r="AD51" s="266"/>
      <c r="AE51" s="386"/>
      <c r="AF51" s="387">
        <f t="shared" si="7"/>
        <v>0</v>
      </c>
      <c r="AG51" s="266"/>
      <c r="AH51" s="386"/>
      <c r="AI51" s="387">
        <f t="shared" si="8"/>
        <v>0</v>
      </c>
      <c r="AJ51" s="266"/>
      <c r="AK51" s="386"/>
      <c r="AL51" s="387">
        <f t="shared" si="9"/>
        <v>0</v>
      </c>
      <c r="AM51" s="388">
        <f t="shared" si="0"/>
        <v>0</v>
      </c>
      <c r="AN51" s="386">
        <f t="shared" si="1"/>
        <v>0</v>
      </c>
      <c r="AO51" s="751">
        <f>SUM(AM51:AM56)</f>
        <v>0</v>
      </c>
      <c r="AP51" s="752">
        <f>SUM(AN51:AN56)</f>
        <v>0</v>
      </c>
      <c r="AQ51" s="753">
        <f t="shared" ref="AQ51:AQ53" si="17">AO51-D51</f>
        <v>-846</v>
      </c>
      <c r="AR51" s="755">
        <f>AP51-G51</f>
        <v>-148586364</v>
      </c>
    </row>
    <row r="52" spans="1:44">
      <c r="A52" s="795"/>
      <c r="B52" s="757"/>
      <c r="C52" s="779"/>
      <c r="D52" s="773"/>
      <c r="E52" s="771"/>
      <c r="F52" s="769"/>
      <c r="G52" s="752"/>
      <c r="H52" s="783"/>
      <c r="I52" s="269">
        <v>2</v>
      </c>
      <c r="J52" s="397"/>
      <c r="K52" s="269"/>
      <c r="L52" s="269"/>
      <c r="M52" s="269"/>
      <c r="N52" s="274"/>
      <c r="O52" s="396"/>
      <c r="P52" s="386"/>
      <c r="Q52" s="387">
        <f t="shared" si="2"/>
        <v>0</v>
      </c>
      <c r="R52" s="387"/>
      <c r="S52" s="386"/>
      <c r="T52" s="387">
        <f t="shared" si="3"/>
        <v>0</v>
      </c>
      <c r="U52" s="266"/>
      <c r="V52" s="386"/>
      <c r="W52" s="387">
        <f t="shared" si="4"/>
        <v>0</v>
      </c>
      <c r="X52" s="266"/>
      <c r="Y52" s="386"/>
      <c r="Z52" s="387">
        <f t="shared" si="5"/>
        <v>0</v>
      </c>
      <c r="AA52" s="266"/>
      <c r="AB52" s="386"/>
      <c r="AC52" s="387">
        <f t="shared" si="6"/>
        <v>0</v>
      </c>
      <c r="AD52" s="266"/>
      <c r="AE52" s="386"/>
      <c r="AF52" s="387">
        <f t="shared" si="7"/>
        <v>0</v>
      </c>
      <c r="AG52" s="266"/>
      <c r="AH52" s="386"/>
      <c r="AI52" s="387">
        <f t="shared" si="8"/>
        <v>0</v>
      </c>
      <c r="AJ52" s="266"/>
      <c r="AK52" s="386"/>
      <c r="AL52" s="387">
        <f t="shared" si="9"/>
        <v>0</v>
      </c>
      <c r="AM52" s="388">
        <f t="shared" si="0"/>
        <v>0</v>
      </c>
      <c r="AN52" s="386">
        <f t="shared" si="1"/>
        <v>0</v>
      </c>
      <c r="AO52" s="751"/>
      <c r="AP52" s="752"/>
      <c r="AQ52" s="754"/>
      <c r="AR52" s="756"/>
    </row>
    <row r="53" spans="1:44">
      <c r="A53" s="795"/>
      <c r="B53" s="757"/>
      <c r="C53" s="779"/>
      <c r="D53" s="773"/>
      <c r="E53" s="771"/>
      <c r="F53" s="769"/>
      <c r="G53" s="752"/>
      <c r="H53" s="783"/>
      <c r="I53" s="269">
        <v>3</v>
      </c>
      <c r="J53" s="397"/>
      <c r="K53" s="269"/>
      <c r="L53" s="269"/>
      <c r="M53" s="269"/>
      <c r="N53" s="274"/>
      <c r="O53" s="396"/>
      <c r="P53" s="386"/>
      <c r="Q53" s="387">
        <f t="shared" si="2"/>
        <v>0</v>
      </c>
      <c r="R53" s="387"/>
      <c r="S53" s="386"/>
      <c r="T53" s="387">
        <f t="shared" si="3"/>
        <v>0</v>
      </c>
      <c r="U53" s="266"/>
      <c r="V53" s="386"/>
      <c r="W53" s="387">
        <f t="shared" si="4"/>
        <v>0</v>
      </c>
      <c r="X53" s="266"/>
      <c r="Y53" s="386"/>
      <c r="Z53" s="387">
        <f t="shared" si="5"/>
        <v>0</v>
      </c>
      <c r="AA53" s="266"/>
      <c r="AB53" s="386"/>
      <c r="AC53" s="387">
        <f t="shared" si="6"/>
        <v>0</v>
      </c>
      <c r="AD53" s="266"/>
      <c r="AE53" s="386"/>
      <c r="AF53" s="387">
        <f t="shared" si="7"/>
        <v>0</v>
      </c>
      <c r="AG53" s="266"/>
      <c r="AH53" s="386"/>
      <c r="AI53" s="387">
        <f t="shared" si="8"/>
        <v>0</v>
      </c>
      <c r="AJ53" s="266"/>
      <c r="AK53" s="386"/>
      <c r="AL53" s="387">
        <f t="shared" si="9"/>
        <v>0</v>
      </c>
      <c r="AM53" s="388">
        <f t="shared" si="0"/>
        <v>0</v>
      </c>
      <c r="AN53" s="386">
        <f t="shared" si="1"/>
        <v>0</v>
      </c>
      <c r="AO53" s="751"/>
      <c r="AP53" s="752"/>
      <c r="AQ53" s="754"/>
      <c r="AR53" s="756"/>
    </row>
    <row r="54" spans="1:44">
      <c r="A54" s="795"/>
      <c r="B54" s="757"/>
      <c r="C54" s="779"/>
      <c r="D54" s="773"/>
      <c r="E54" s="771"/>
      <c r="F54" s="769"/>
      <c r="G54" s="752"/>
      <c r="H54" s="783"/>
      <c r="I54" s="269">
        <v>4</v>
      </c>
      <c r="J54" s="397"/>
      <c r="K54" s="269"/>
      <c r="L54" s="269"/>
      <c r="M54" s="269"/>
      <c r="N54" s="274"/>
      <c r="O54" s="396"/>
      <c r="P54" s="386"/>
      <c r="Q54" s="387">
        <f t="shared" si="2"/>
        <v>0</v>
      </c>
      <c r="R54" s="387"/>
      <c r="S54" s="386"/>
      <c r="T54" s="387">
        <f t="shared" si="3"/>
        <v>0</v>
      </c>
      <c r="U54" s="266"/>
      <c r="V54" s="386"/>
      <c r="W54" s="387">
        <f t="shared" si="4"/>
        <v>0</v>
      </c>
      <c r="X54" s="266"/>
      <c r="Y54" s="386"/>
      <c r="Z54" s="387">
        <f t="shared" si="5"/>
        <v>0</v>
      </c>
      <c r="AA54" s="266"/>
      <c r="AB54" s="386"/>
      <c r="AC54" s="387">
        <f t="shared" si="6"/>
        <v>0</v>
      </c>
      <c r="AD54" s="266"/>
      <c r="AE54" s="386"/>
      <c r="AF54" s="387">
        <f t="shared" si="7"/>
        <v>0</v>
      </c>
      <c r="AG54" s="266"/>
      <c r="AH54" s="386"/>
      <c r="AI54" s="387">
        <f t="shared" si="8"/>
        <v>0</v>
      </c>
      <c r="AJ54" s="266"/>
      <c r="AK54" s="386"/>
      <c r="AL54" s="387">
        <f t="shared" si="9"/>
        <v>0</v>
      </c>
      <c r="AM54" s="388">
        <f t="shared" si="0"/>
        <v>0</v>
      </c>
      <c r="AN54" s="386">
        <f t="shared" si="1"/>
        <v>0</v>
      </c>
      <c r="AO54" s="751"/>
      <c r="AP54" s="752"/>
      <c r="AQ54" s="754"/>
      <c r="AR54" s="756"/>
    </row>
    <row r="55" spans="1:44">
      <c r="A55" s="795"/>
      <c r="B55" s="757"/>
      <c r="C55" s="779"/>
      <c r="D55" s="773"/>
      <c r="E55" s="771"/>
      <c r="F55" s="769"/>
      <c r="G55" s="752"/>
      <c r="H55" s="783"/>
      <c r="I55" s="269">
        <v>5</v>
      </c>
      <c r="J55" s="397"/>
      <c r="K55" s="269"/>
      <c r="L55" s="269"/>
      <c r="M55" s="269"/>
      <c r="N55" s="274"/>
      <c r="O55" s="396"/>
      <c r="P55" s="386"/>
      <c r="Q55" s="387">
        <f t="shared" si="2"/>
        <v>0</v>
      </c>
      <c r="R55" s="387"/>
      <c r="S55" s="386"/>
      <c r="T55" s="387">
        <f t="shared" si="3"/>
        <v>0</v>
      </c>
      <c r="U55" s="266"/>
      <c r="V55" s="386"/>
      <c r="W55" s="387">
        <f t="shared" si="4"/>
        <v>0</v>
      </c>
      <c r="X55" s="266"/>
      <c r="Y55" s="386"/>
      <c r="Z55" s="387">
        <f t="shared" si="5"/>
        <v>0</v>
      </c>
      <c r="AA55" s="266"/>
      <c r="AB55" s="386"/>
      <c r="AC55" s="387">
        <f t="shared" si="6"/>
        <v>0</v>
      </c>
      <c r="AD55" s="266"/>
      <c r="AE55" s="386"/>
      <c r="AF55" s="387">
        <f t="shared" si="7"/>
        <v>0</v>
      </c>
      <c r="AG55" s="266"/>
      <c r="AH55" s="386"/>
      <c r="AI55" s="387">
        <f t="shared" si="8"/>
        <v>0</v>
      </c>
      <c r="AJ55" s="266"/>
      <c r="AK55" s="386"/>
      <c r="AL55" s="387">
        <f t="shared" si="9"/>
        <v>0</v>
      </c>
      <c r="AM55" s="388">
        <f t="shared" si="0"/>
        <v>0</v>
      </c>
      <c r="AN55" s="386">
        <f t="shared" si="1"/>
        <v>0</v>
      </c>
      <c r="AO55" s="751"/>
      <c r="AP55" s="752"/>
      <c r="AQ55" s="754"/>
      <c r="AR55" s="756"/>
    </row>
    <row r="56" spans="1:44">
      <c r="A56" s="795"/>
      <c r="B56" s="757"/>
      <c r="C56" s="770"/>
      <c r="D56" s="780"/>
      <c r="E56" s="771"/>
      <c r="F56" s="769"/>
      <c r="G56" s="752"/>
      <c r="H56" s="784"/>
      <c r="I56" s="269">
        <v>6</v>
      </c>
      <c r="J56" s="397"/>
      <c r="K56" s="269"/>
      <c r="L56" s="269"/>
      <c r="M56" s="269"/>
      <c r="N56" s="274"/>
      <c r="O56" s="396"/>
      <c r="P56" s="386"/>
      <c r="Q56" s="387">
        <f t="shared" si="2"/>
        <v>0</v>
      </c>
      <c r="R56" s="387"/>
      <c r="S56" s="386"/>
      <c r="T56" s="387">
        <f t="shared" si="3"/>
        <v>0</v>
      </c>
      <c r="U56" s="266"/>
      <c r="V56" s="386"/>
      <c r="W56" s="387">
        <f t="shared" si="4"/>
        <v>0</v>
      </c>
      <c r="X56" s="266"/>
      <c r="Y56" s="386"/>
      <c r="Z56" s="387">
        <f t="shared" si="5"/>
        <v>0</v>
      </c>
      <c r="AA56" s="266"/>
      <c r="AB56" s="386"/>
      <c r="AC56" s="387">
        <f t="shared" si="6"/>
        <v>0</v>
      </c>
      <c r="AD56" s="266"/>
      <c r="AE56" s="386"/>
      <c r="AF56" s="387">
        <f t="shared" si="7"/>
        <v>0</v>
      </c>
      <c r="AG56" s="266"/>
      <c r="AH56" s="386"/>
      <c r="AI56" s="387">
        <f t="shared" si="8"/>
        <v>0</v>
      </c>
      <c r="AJ56" s="266"/>
      <c r="AK56" s="386"/>
      <c r="AL56" s="387">
        <f t="shared" si="9"/>
        <v>0</v>
      </c>
      <c r="AM56" s="388">
        <f t="shared" si="0"/>
        <v>0</v>
      </c>
      <c r="AN56" s="386">
        <f t="shared" si="1"/>
        <v>0</v>
      </c>
      <c r="AO56" s="751"/>
      <c r="AP56" s="752"/>
      <c r="AQ56" s="765"/>
      <c r="AR56" s="766"/>
    </row>
    <row r="57" spans="1:44">
      <c r="A57" s="795"/>
      <c r="B57" s="757"/>
      <c r="C57" s="778" t="s">
        <v>204</v>
      </c>
      <c r="D57" s="775">
        <v>128</v>
      </c>
      <c r="E57" s="771">
        <v>3</v>
      </c>
      <c r="F57" s="769">
        <v>175634</v>
      </c>
      <c r="G57" s="752">
        <f>F57*D57</f>
        <v>22481152</v>
      </c>
      <c r="H57" s="782">
        <f>D57/E57</f>
        <v>42.666666666666664</v>
      </c>
      <c r="I57" s="269">
        <v>1</v>
      </c>
      <c r="J57" s="397" t="s">
        <v>477</v>
      </c>
      <c r="K57" s="269"/>
      <c r="L57" s="269"/>
      <c r="M57" s="269"/>
      <c r="N57" s="274"/>
      <c r="O57" s="396"/>
      <c r="P57" s="386"/>
      <c r="Q57" s="387">
        <f t="shared" si="2"/>
        <v>0</v>
      </c>
      <c r="R57" s="387"/>
      <c r="S57" s="386"/>
      <c r="T57" s="387">
        <f t="shared" si="3"/>
        <v>0</v>
      </c>
      <c r="U57" s="266"/>
      <c r="V57" s="386"/>
      <c r="W57" s="387">
        <f t="shared" si="4"/>
        <v>0</v>
      </c>
      <c r="X57" s="266"/>
      <c r="Y57" s="386"/>
      <c r="Z57" s="387">
        <f t="shared" si="5"/>
        <v>0</v>
      </c>
      <c r="AA57" s="266"/>
      <c r="AB57" s="386"/>
      <c r="AC57" s="387">
        <f t="shared" si="6"/>
        <v>0</v>
      </c>
      <c r="AD57" s="266"/>
      <c r="AE57" s="386"/>
      <c r="AF57" s="387">
        <f t="shared" si="7"/>
        <v>0</v>
      </c>
      <c r="AG57" s="266"/>
      <c r="AH57" s="386"/>
      <c r="AI57" s="387">
        <f t="shared" si="8"/>
        <v>0</v>
      </c>
      <c r="AJ57" s="266"/>
      <c r="AK57" s="386"/>
      <c r="AL57" s="387">
        <f t="shared" si="9"/>
        <v>0</v>
      </c>
      <c r="AM57" s="388">
        <f t="shared" si="0"/>
        <v>0</v>
      </c>
      <c r="AN57" s="386">
        <f t="shared" si="1"/>
        <v>0</v>
      </c>
      <c r="AO57" s="751">
        <f>SUM(AM57:AM59)</f>
        <v>0</v>
      </c>
      <c r="AP57" s="752">
        <f>SUM(AN57:AN59)</f>
        <v>0</v>
      </c>
      <c r="AQ57" s="753">
        <f t="shared" ref="AQ57:AQ58" si="18">AO57-D57</f>
        <v>-128</v>
      </c>
      <c r="AR57" s="755">
        <f t="shared" ref="AR57:AR58" si="19">AP57-G57</f>
        <v>-22481152</v>
      </c>
    </row>
    <row r="58" spans="1:44">
      <c r="A58" s="795"/>
      <c r="B58" s="757"/>
      <c r="C58" s="779"/>
      <c r="D58" s="773"/>
      <c r="E58" s="771"/>
      <c r="F58" s="769"/>
      <c r="G58" s="752"/>
      <c r="H58" s="783"/>
      <c r="I58" s="269">
        <v>2</v>
      </c>
      <c r="J58" s="397"/>
      <c r="K58" s="269"/>
      <c r="L58" s="269"/>
      <c r="M58" s="269"/>
      <c r="N58" s="274"/>
      <c r="O58" s="396"/>
      <c r="P58" s="386"/>
      <c r="Q58" s="387">
        <f t="shared" si="2"/>
        <v>0</v>
      </c>
      <c r="R58" s="387"/>
      <c r="S58" s="386"/>
      <c r="T58" s="387">
        <f t="shared" si="3"/>
        <v>0</v>
      </c>
      <c r="U58" s="266"/>
      <c r="V58" s="386"/>
      <c r="W58" s="387">
        <f t="shared" si="4"/>
        <v>0</v>
      </c>
      <c r="X58" s="266"/>
      <c r="Y58" s="386"/>
      <c r="Z58" s="387">
        <f t="shared" si="5"/>
        <v>0</v>
      </c>
      <c r="AA58" s="266"/>
      <c r="AB58" s="386"/>
      <c r="AC58" s="387">
        <f t="shared" si="6"/>
        <v>0</v>
      </c>
      <c r="AD58" s="266"/>
      <c r="AE58" s="386"/>
      <c r="AF58" s="387">
        <f t="shared" si="7"/>
        <v>0</v>
      </c>
      <c r="AG58" s="266"/>
      <c r="AH58" s="386"/>
      <c r="AI58" s="387">
        <f t="shared" si="8"/>
        <v>0</v>
      </c>
      <c r="AJ58" s="266"/>
      <c r="AK58" s="386"/>
      <c r="AL58" s="387">
        <f t="shared" si="9"/>
        <v>0</v>
      </c>
      <c r="AM58" s="388">
        <f t="shared" si="0"/>
        <v>0</v>
      </c>
      <c r="AN58" s="386">
        <f t="shared" si="1"/>
        <v>0</v>
      </c>
      <c r="AO58" s="751"/>
      <c r="AP58" s="752"/>
      <c r="AQ58" s="754"/>
      <c r="AR58" s="756"/>
    </row>
    <row r="59" spans="1:44">
      <c r="A59" s="795"/>
      <c r="B59" s="757"/>
      <c r="C59" s="770"/>
      <c r="D59" s="780"/>
      <c r="E59" s="771"/>
      <c r="F59" s="769"/>
      <c r="G59" s="752"/>
      <c r="H59" s="850"/>
      <c r="I59" s="269">
        <v>3</v>
      </c>
      <c r="J59" s="397"/>
      <c r="K59" s="269"/>
      <c r="L59" s="269"/>
      <c r="M59" s="269"/>
      <c r="N59" s="274"/>
      <c r="O59" s="396"/>
      <c r="P59" s="386"/>
      <c r="Q59" s="387">
        <f t="shared" si="2"/>
        <v>0</v>
      </c>
      <c r="R59" s="387"/>
      <c r="S59" s="386"/>
      <c r="T59" s="387">
        <f t="shared" si="3"/>
        <v>0</v>
      </c>
      <c r="U59" s="266"/>
      <c r="V59" s="386"/>
      <c r="W59" s="387">
        <f t="shared" si="4"/>
        <v>0</v>
      </c>
      <c r="X59" s="266"/>
      <c r="Y59" s="386"/>
      <c r="Z59" s="387">
        <f t="shared" si="5"/>
        <v>0</v>
      </c>
      <c r="AA59" s="266"/>
      <c r="AB59" s="386"/>
      <c r="AC59" s="387">
        <f t="shared" si="6"/>
        <v>0</v>
      </c>
      <c r="AD59" s="266"/>
      <c r="AE59" s="386"/>
      <c r="AF59" s="387">
        <f t="shared" si="7"/>
        <v>0</v>
      </c>
      <c r="AG59" s="266"/>
      <c r="AH59" s="386"/>
      <c r="AI59" s="387">
        <f t="shared" si="8"/>
        <v>0</v>
      </c>
      <c r="AJ59" s="266"/>
      <c r="AK59" s="386"/>
      <c r="AL59" s="387">
        <f t="shared" si="9"/>
        <v>0</v>
      </c>
      <c r="AM59" s="388">
        <f t="shared" si="0"/>
        <v>0</v>
      </c>
      <c r="AN59" s="386">
        <f t="shared" si="1"/>
        <v>0</v>
      </c>
      <c r="AO59" s="751"/>
      <c r="AP59" s="752"/>
      <c r="AQ59" s="765"/>
      <c r="AR59" s="766"/>
    </row>
    <row r="60" spans="1:44">
      <c r="A60" s="795"/>
      <c r="B60" s="757"/>
      <c r="C60" s="778" t="s">
        <v>207</v>
      </c>
      <c r="D60" s="775">
        <f>480+30</f>
        <v>510</v>
      </c>
      <c r="E60" s="771">
        <v>5</v>
      </c>
      <c r="F60" s="769">
        <v>175634</v>
      </c>
      <c r="G60" s="752">
        <f>F60*D60</f>
        <v>89573340</v>
      </c>
      <c r="H60" s="776">
        <f>D60/E60</f>
        <v>102</v>
      </c>
      <c r="I60" s="269">
        <v>1</v>
      </c>
      <c r="J60" s="397" t="s">
        <v>478</v>
      </c>
      <c r="K60" s="269"/>
      <c r="L60" s="269"/>
      <c r="M60" s="269"/>
      <c r="N60" s="274"/>
      <c r="O60" s="396"/>
      <c r="P60" s="386"/>
      <c r="Q60" s="387">
        <f t="shared" si="2"/>
        <v>0</v>
      </c>
      <c r="R60" s="387"/>
      <c r="S60" s="386"/>
      <c r="T60" s="387">
        <f t="shared" si="3"/>
        <v>0</v>
      </c>
      <c r="U60" s="266"/>
      <c r="V60" s="386"/>
      <c r="W60" s="387">
        <f t="shared" si="4"/>
        <v>0</v>
      </c>
      <c r="X60" s="266"/>
      <c r="Y60" s="386"/>
      <c r="Z60" s="387">
        <f t="shared" si="5"/>
        <v>0</v>
      </c>
      <c r="AA60" s="266"/>
      <c r="AB60" s="386"/>
      <c r="AC60" s="387">
        <f t="shared" si="6"/>
        <v>0</v>
      </c>
      <c r="AD60" s="266"/>
      <c r="AE60" s="386"/>
      <c r="AF60" s="387">
        <f t="shared" si="7"/>
        <v>0</v>
      </c>
      <c r="AG60" s="266"/>
      <c r="AH60" s="386"/>
      <c r="AI60" s="387">
        <f t="shared" si="8"/>
        <v>0</v>
      </c>
      <c r="AJ60" s="266"/>
      <c r="AK60" s="386"/>
      <c r="AL60" s="387">
        <f t="shared" si="9"/>
        <v>0</v>
      </c>
      <c r="AM60" s="388">
        <f t="shared" si="0"/>
        <v>0</v>
      </c>
      <c r="AN60" s="386">
        <f t="shared" si="1"/>
        <v>0</v>
      </c>
      <c r="AO60" s="751">
        <f>SUM(AM60:AM64)</f>
        <v>0</v>
      </c>
      <c r="AP60" s="752">
        <f>SUM(AN60:AN64)</f>
        <v>0</v>
      </c>
      <c r="AQ60" s="753">
        <f t="shared" ref="AQ60:AQ61" si="20">AO60-D60</f>
        <v>-510</v>
      </c>
      <c r="AR60" s="755">
        <f t="shared" ref="AR60:AR61" si="21">AP60-G60</f>
        <v>-89573340</v>
      </c>
    </row>
    <row r="61" spans="1:44">
      <c r="A61" s="795"/>
      <c r="B61" s="757"/>
      <c r="C61" s="779"/>
      <c r="D61" s="773"/>
      <c r="E61" s="771"/>
      <c r="F61" s="769"/>
      <c r="G61" s="752"/>
      <c r="H61" s="777"/>
      <c r="I61" s="269">
        <v>2</v>
      </c>
      <c r="J61" s="397"/>
      <c r="K61" s="269"/>
      <c r="L61" s="269"/>
      <c r="M61" s="269"/>
      <c r="N61" s="274"/>
      <c r="O61" s="396"/>
      <c r="P61" s="386"/>
      <c r="Q61" s="387">
        <f t="shared" si="2"/>
        <v>0</v>
      </c>
      <c r="R61" s="387"/>
      <c r="S61" s="386"/>
      <c r="T61" s="387">
        <f t="shared" si="3"/>
        <v>0</v>
      </c>
      <c r="U61" s="266"/>
      <c r="V61" s="386"/>
      <c r="W61" s="387">
        <f t="shared" si="4"/>
        <v>0</v>
      </c>
      <c r="X61" s="266"/>
      <c r="Y61" s="386"/>
      <c r="Z61" s="387">
        <f t="shared" si="5"/>
        <v>0</v>
      </c>
      <c r="AA61" s="266"/>
      <c r="AB61" s="386"/>
      <c r="AC61" s="387">
        <f t="shared" si="6"/>
        <v>0</v>
      </c>
      <c r="AD61" s="266"/>
      <c r="AE61" s="386"/>
      <c r="AF61" s="387">
        <f t="shared" si="7"/>
        <v>0</v>
      </c>
      <c r="AG61" s="266"/>
      <c r="AH61" s="386"/>
      <c r="AI61" s="387">
        <f t="shared" si="8"/>
        <v>0</v>
      </c>
      <c r="AJ61" s="266"/>
      <c r="AK61" s="386"/>
      <c r="AL61" s="387">
        <f t="shared" si="9"/>
        <v>0</v>
      </c>
      <c r="AM61" s="388">
        <f t="shared" si="0"/>
        <v>0</v>
      </c>
      <c r="AN61" s="386">
        <f t="shared" si="1"/>
        <v>0</v>
      </c>
      <c r="AO61" s="751"/>
      <c r="AP61" s="752"/>
      <c r="AQ61" s="754"/>
      <c r="AR61" s="756"/>
    </row>
    <row r="62" spans="1:44">
      <c r="A62" s="795"/>
      <c r="B62" s="757"/>
      <c r="C62" s="779"/>
      <c r="D62" s="773"/>
      <c r="E62" s="771"/>
      <c r="F62" s="769"/>
      <c r="G62" s="752"/>
      <c r="H62" s="777"/>
      <c r="I62" s="269">
        <v>3</v>
      </c>
      <c r="J62" s="397"/>
      <c r="K62" s="269"/>
      <c r="L62" s="269"/>
      <c r="M62" s="269"/>
      <c r="N62" s="274"/>
      <c r="O62" s="396"/>
      <c r="P62" s="386"/>
      <c r="Q62" s="387">
        <f t="shared" si="2"/>
        <v>0</v>
      </c>
      <c r="R62" s="387"/>
      <c r="S62" s="386"/>
      <c r="T62" s="387">
        <f t="shared" si="3"/>
        <v>0</v>
      </c>
      <c r="U62" s="266"/>
      <c r="V62" s="386"/>
      <c r="W62" s="387">
        <f t="shared" si="4"/>
        <v>0</v>
      </c>
      <c r="X62" s="266"/>
      <c r="Y62" s="386"/>
      <c r="Z62" s="387">
        <f t="shared" si="5"/>
        <v>0</v>
      </c>
      <c r="AA62" s="266"/>
      <c r="AB62" s="386"/>
      <c r="AC62" s="387">
        <f t="shared" si="6"/>
        <v>0</v>
      </c>
      <c r="AD62" s="266"/>
      <c r="AE62" s="386"/>
      <c r="AF62" s="387">
        <f t="shared" si="7"/>
        <v>0</v>
      </c>
      <c r="AG62" s="266"/>
      <c r="AH62" s="386"/>
      <c r="AI62" s="387">
        <f t="shared" si="8"/>
        <v>0</v>
      </c>
      <c r="AJ62" s="266"/>
      <c r="AK62" s="386"/>
      <c r="AL62" s="387">
        <f t="shared" si="9"/>
        <v>0</v>
      </c>
      <c r="AM62" s="388">
        <f t="shared" si="0"/>
        <v>0</v>
      </c>
      <c r="AN62" s="386">
        <f t="shared" si="1"/>
        <v>0</v>
      </c>
      <c r="AO62" s="751"/>
      <c r="AP62" s="752"/>
      <c r="AQ62" s="754"/>
      <c r="AR62" s="756"/>
    </row>
    <row r="63" spans="1:44">
      <c r="A63" s="795"/>
      <c r="B63" s="757"/>
      <c r="C63" s="779"/>
      <c r="D63" s="773"/>
      <c r="E63" s="771"/>
      <c r="F63" s="769"/>
      <c r="G63" s="752"/>
      <c r="H63" s="777"/>
      <c r="I63" s="269">
        <v>4</v>
      </c>
      <c r="J63" s="397"/>
      <c r="K63" s="269"/>
      <c r="L63" s="269"/>
      <c r="M63" s="269"/>
      <c r="N63" s="274"/>
      <c r="O63" s="396"/>
      <c r="P63" s="386"/>
      <c r="Q63" s="387">
        <f t="shared" si="2"/>
        <v>0</v>
      </c>
      <c r="R63" s="387"/>
      <c r="S63" s="386"/>
      <c r="T63" s="387">
        <f t="shared" si="3"/>
        <v>0</v>
      </c>
      <c r="U63" s="266"/>
      <c r="V63" s="386"/>
      <c r="W63" s="387">
        <f t="shared" si="4"/>
        <v>0</v>
      </c>
      <c r="X63" s="266"/>
      <c r="Y63" s="386"/>
      <c r="Z63" s="387">
        <f t="shared" si="5"/>
        <v>0</v>
      </c>
      <c r="AA63" s="266"/>
      <c r="AB63" s="386"/>
      <c r="AC63" s="387">
        <f t="shared" si="6"/>
        <v>0</v>
      </c>
      <c r="AD63" s="266"/>
      <c r="AE63" s="386"/>
      <c r="AF63" s="387">
        <f t="shared" si="7"/>
        <v>0</v>
      </c>
      <c r="AG63" s="266"/>
      <c r="AH63" s="386"/>
      <c r="AI63" s="387">
        <f t="shared" si="8"/>
        <v>0</v>
      </c>
      <c r="AJ63" s="266"/>
      <c r="AK63" s="386"/>
      <c r="AL63" s="387">
        <f t="shared" si="9"/>
        <v>0</v>
      </c>
      <c r="AM63" s="388">
        <f t="shared" si="0"/>
        <v>0</v>
      </c>
      <c r="AN63" s="386">
        <f t="shared" si="1"/>
        <v>0</v>
      </c>
      <c r="AO63" s="751"/>
      <c r="AP63" s="752"/>
      <c r="AQ63" s="754"/>
      <c r="AR63" s="756"/>
    </row>
    <row r="64" spans="1:44">
      <c r="A64" s="795"/>
      <c r="B64" s="757"/>
      <c r="C64" s="770"/>
      <c r="D64" s="780"/>
      <c r="E64" s="771"/>
      <c r="F64" s="769"/>
      <c r="G64" s="752"/>
      <c r="H64" s="781"/>
      <c r="I64" s="269">
        <v>5</v>
      </c>
      <c r="J64" s="397"/>
      <c r="K64" s="269"/>
      <c r="L64" s="269"/>
      <c r="M64" s="269"/>
      <c r="N64" s="274"/>
      <c r="O64" s="396"/>
      <c r="P64" s="386"/>
      <c r="Q64" s="387">
        <f t="shared" si="2"/>
        <v>0</v>
      </c>
      <c r="R64" s="387"/>
      <c r="S64" s="386"/>
      <c r="T64" s="387">
        <f t="shared" si="3"/>
        <v>0</v>
      </c>
      <c r="U64" s="266"/>
      <c r="V64" s="386"/>
      <c r="W64" s="387">
        <f t="shared" si="4"/>
        <v>0</v>
      </c>
      <c r="X64" s="266"/>
      <c r="Y64" s="386"/>
      <c r="Z64" s="387">
        <f t="shared" si="5"/>
        <v>0</v>
      </c>
      <c r="AA64" s="266"/>
      <c r="AB64" s="386"/>
      <c r="AC64" s="387">
        <f t="shared" si="6"/>
        <v>0</v>
      </c>
      <c r="AD64" s="266"/>
      <c r="AE64" s="386"/>
      <c r="AF64" s="387">
        <f t="shared" si="7"/>
        <v>0</v>
      </c>
      <c r="AG64" s="266"/>
      <c r="AH64" s="386"/>
      <c r="AI64" s="387">
        <f t="shared" si="8"/>
        <v>0</v>
      </c>
      <c r="AJ64" s="266"/>
      <c r="AK64" s="386"/>
      <c r="AL64" s="387">
        <f t="shared" si="9"/>
        <v>0</v>
      </c>
      <c r="AM64" s="388">
        <f t="shared" si="0"/>
        <v>0</v>
      </c>
      <c r="AN64" s="386">
        <f t="shared" si="1"/>
        <v>0</v>
      </c>
      <c r="AO64" s="751"/>
      <c r="AP64" s="752"/>
      <c r="AQ64" s="765"/>
      <c r="AR64" s="766"/>
    </row>
    <row r="65" spans="1:44">
      <c r="A65" s="795"/>
      <c r="B65" s="757"/>
      <c r="C65" s="778" t="s">
        <v>209</v>
      </c>
      <c r="D65" s="775">
        <f>782+72</f>
        <v>854</v>
      </c>
      <c r="E65" s="771">
        <v>8</v>
      </c>
      <c r="F65" s="769">
        <v>175634</v>
      </c>
      <c r="G65" s="752">
        <f>F65*D65</f>
        <v>149991436</v>
      </c>
      <c r="H65" s="776">
        <f>D65/E65</f>
        <v>106.75</v>
      </c>
      <c r="I65" s="269">
        <v>1</v>
      </c>
      <c r="J65" s="397" t="s">
        <v>479</v>
      </c>
      <c r="K65" s="269"/>
      <c r="L65" s="269"/>
      <c r="M65" s="269"/>
      <c r="N65" s="274"/>
      <c r="O65" s="396"/>
      <c r="P65" s="386"/>
      <c r="Q65" s="387">
        <f t="shared" si="2"/>
        <v>0</v>
      </c>
      <c r="R65" s="387"/>
      <c r="S65" s="386"/>
      <c r="T65" s="387">
        <f t="shared" si="3"/>
        <v>0</v>
      </c>
      <c r="U65" s="266"/>
      <c r="V65" s="386"/>
      <c r="W65" s="387">
        <f t="shared" si="4"/>
        <v>0</v>
      </c>
      <c r="X65" s="266"/>
      <c r="Y65" s="386"/>
      <c r="Z65" s="387">
        <f t="shared" si="5"/>
        <v>0</v>
      </c>
      <c r="AA65" s="266"/>
      <c r="AB65" s="386"/>
      <c r="AC65" s="387">
        <f t="shared" si="6"/>
        <v>0</v>
      </c>
      <c r="AD65" s="266"/>
      <c r="AE65" s="386"/>
      <c r="AF65" s="387">
        <f t="shared" si="7"/>
        <v>0</v>
      </c>
      <c r="AG65" s="266"/>
      <c r="AH65" s="386"/>
      <c r="AI65" s="387">
        <f t="shared" si="8"/>
        <v>0</v>
      </c>
      <c r="AJ65" s="266"/>
      <c r="AK65" s="386"/>
      <c r="AL65" s="387">
        <f t="shared" si="9"/>
        <v>0</v>
      </c>
      <c r="AM65" s="388">
        <f t="shared" si="0"/>
        <v>0</v>
      </c>
      <c r="AN65" s="386">
        <f t="shared" si="1"/>
        <v>0</v>
      </c>
      <c r="AO65" s="751">
        <f>SUM(AM65:AM72)</f>
        <v>0</v>
      </c>
      <c r="AP65" s="752">
        <f>SUM(AN65:AN72)</f>
        <v>0</v>
      </c>
      <c r="AQ65" s="753">
        <f t="shared" ref="AQ65:AQ66" si="22">AO65-D65</f>
        <v>-854</v>
      </c>
      <c r="AR65" s="755">
        <f t="shared" ref="AR65:AR66" si="23">AP65-G65</f>
        <v>-149991436</v>
      </c>
    </row>
    <row r="66" spans="1:44">
      <c r="A66" s="795"/>
      <c r="B66" s="757"/>
      <c r="C66" s="779"/>
      <c r="D66" s="773"/>
      <c r="E66" s="771"/>
      <c r="F66" s="769"/>
      <c r="G66" s="752"/>
      <c r="H66" s="777"/>
      <c r="I66" s="269">
        <v>2</v>
      </c>
      <c r="J66" s="397"/>
      <c r="K66" s="269"/>
      <c r="L66" s="269"/>
      <c r="M66" s="269"/>
      <c r="N66" s="274"/>
      <c r="O66" s="396"/>
      <c r="P66" s="386"/>
      <c r="Q66" s="387">
        <f t="shared" si="2"/>
        <v>0</v>
      </c>
      <c r="R66" s="387"/>
      <c r="S66" s="386"/>
      <c r="T66" s="387">
        <f t="shared" si="3"/>
        <v>0</v>
      </c>
      <c r="U66" s="266"/>
      <c r="V66" s="386"/>
      <c r="W66" s="387">
        <f t="shared" si="4"/>
        <v>0</v>
      </c>
      <c r="X66" s="266"/>
      <c r="Y66" s="386"/>
      <c r="Z66" s="387">
        <f t="shared" si="5"/>
        <v>0</v>
      </c>
      <c r="AA66" s="266"/>
      <c r="AB66" s="386"/>
      <c r="AC66" s="387">
        <f t="shared" si="6"/>
        <v>0</v>
      </c>
      <c r="AD66" s="266"/>
      <c r="AE66" s="386"/>
      <c r="AF66" s="387">
        <f t="shared" si="7"/>
        <v>0</v>
      </c>
      <c r="AG66" s="266"/>
      <c r="AH66" s="386"/>
      <c r="AI66" s="387">
        <f t="shared" si="8"/>
        <v>0</v>
      </c>
      <c r="AJ66" s="266"/>
      <c r="AK66" s="386"/>
      <c r="AL66" s="387">
        <f t="shared" si="9"/>
        <v>0</v>
      </c>
      <c r="AM66" s="388">
        <f t="shared" si="0"/>
        <v>0</v>
      </c>
      <c r="AN66" s="386">
        <f t="shared" si="1"/>
        <v>0</v>
      </c>
      <c r="AO66" s="751"/>
      <c r="AP66" s="752"/>
      <c r="AQ66" s="754"/>
      <c r="AR66" s="756"/>
    </row>
    <row r="67" spans="1:44">
      <c r="A67" s="795"/>
      <c r="B67" s="757"/>
      <c r="C67" s="779"/>
      <c r="D67" s="773"/>
      <c r="E67" s="771"/>
      <c r="F67" s="769"/>
      <c r="G67" s="752"/>
      <c r="H67" s="777"/>
      <c r="I67" s="269">
        <v>3</v>
      </c>
      <c r="J67" s="397"/>
      <c r="K67" s="269"/>
      <c r="L67" s="269"/>
      <c r="M67" s="269"/>
      <c r="N67" s="274"/>
      <c r="O67" s="396"/>
      <c r="P67" s="386"/>
      <c r="Q67" s="387">
        <f t="shared" si="2"/>
        <v>0</v>
      </c>
      <c r="R67" s="387"/>
      <c r="S67" s="386"/>
      <c r="T67" s="387">
        <f t="shared" si="3"/>
        <v>0</v>
      </c>
      <c r="U67" s="266"/>
      <c r="V67" s="386"/>
      <c r="W67" s="387">
        <f t="shared" si="4"/>
        <v>0</v>
      </c>
      <c r="X67" s="266"/>
      <c r="Y67" s="386"/>
      <c r="Z67" s="387">
        <f t="shared" si="5"/>
        <v>0</v>
      </c>
      <c r="AA67" s="266"/>
      <c r="AB67" s="386"/>
      <c r="AC67" s="387">
        <f t="shared" si="6"/>
        <v>0</v>
      </c>
      <c r="AD67" s="266"/>
      <c r="AE67" s="386"/>
      <c r="AF67" s="387">
        <f t="shared" si="7"/>
        <v>0</v>
      </c>
      <c r="AG67" s="266"/>
      <c r="AH67" s="386"/>
      <c r="AI67" s="387">
        <f t="shared" si="8"/>
        <v>0</v>
      </c>
      <c r="AJ67" s="266"/>
      <c r="AK67" s="386"/>
      <c r="AL67" s="387">
        <f t="shared" si="9"/>
        <v>0</v>
      </c>
      <c r="AM67" s="388">
        <f t="shared" si="0"/>
        <v>0</v>
      </c>
      <c r="AN67" s="386">
        <f t="shared" si="1"/>
        <v>0</v>
      </c>
      <c r="AO67" s="751"/>
      <c r="AP67" s="752"/>
      <c r="AQ67" s="754"/>
      <c r="AR67" s="756"/>
    </row>
    <row r="68" spans="1:44">
      <c r="A68" s="795"/>
      <c r="B68" s="757"/>
      <c r="C68" s="779"/>
      <c r="D68" s="773"/>
      <c r="E68" s="771"/>
      <c r="F68" s="769"/>
      <c r="G68" s="752"/>
      <c r="H68" s="777"/>
      <c r="I68" s="269">
        <v>4</v>
      </c>
      <c r="J68" s="397"/>
      <c r="K68" s="269"/>
      <c r="L68" s="269"/>
      <c r="M68" s="269"/>
      <c r="N68" s="274"/>
      <c r="O68" s="396"/>
      <c r="P68" s="386"/>
      <c r="Q68" s="387">
        <f t="shared" si="2"/>
        <v>0</v>
      </c>
      <c r="R68" s="387"/>
      <c r="S68" s="386"/>
      <c r="T68" s="387">
        <f t="shared" si="3"/>
        <v>0</v>
      </c>
      <c r="U68" s="266"/>
      <c r="V68" s="386"/>
      <c r="W68" s="387">
        <f t="shared" si="4"/>
        <v>0</v>
      </c>
      <c r="X68" s="266"/>
      <c r="Y68" s="386"/>
      <c r="Z68" s="387">
        <f t="shared" si="5"/>
        <v>0</v>
      </c>
      <c r="AA68" s="266"/>
      <c r="AB68" s="386"/>
      <c r="AC68" s="387">
        <f t="shared" si="6"/>
        <v>0</v>
      </c>
      <c r="AD68" s="266"/>
      <c r="AE68" s="386"/>
      <c r="AF68" s="387">
        <f t="shared" si="7"/>
        <v>0</v>
      </c>
      <c r="AG68" s="266"/>
      <c r="AH68" s="386"/>
      <c r="AI68" s="387">
        <f t="shared" si="8"/>
        <v>0</v>
      </c>
      <c r="AJ68" s="266"/>
      <c r="AK68" s="386"/>
      <c r="AL68" s="387">
        <f t="shared" si="9"/>
        <v>0</v>
      </c>
      <c r="AM68" s="388">
        <f t="shared" si="0"/>
        <v>0</v>
      </c>
      <c r="AN68" s="386">
        <f t="shared" si="1"/>
        <v>0</v>
      </c>
      <c r="AO68" s="751"/>
      <c r="AP68" s="752"/>
      <c r="AQ68" s="754"/>
      <c r="AR68" s="756"/>
    </row>
    <row r="69" spans="1:44">
      <c r="A69" s="795"/>
      <c r="B69" s="757"/>
      <c r="C69" s="779"/>
      <c r="D69" s="773"/>
      <c r="E69" s="771"/>
      <c r="F69" s="769"/>
      <c r="G69" s="752"/>
      <c r="H69" s="777"/>
      <c r="I69" s="269">
        <v>5</v>
      </c>
      <c r="J69" s="397"/>
      <c r="K69" s="269"/>
      <c r="L69" s="269"/>
      <c r="M69" s="269"/>
      <c r="N69" s="274"/>
      <c r="O69" s="396"/>
      <c r="P69" s="386"/>
      <c r="Q69" s="387">
        <f t="shared" si="2"/>
        <v>0</v>
      </c>
      <c r="R69" s="387"/>
      <c r="S69" s="386"/>
      <c r="T69" s="387">
        <f t="shared" si="3"/>
        <v>0</v>
      </c>
      <c r="U69" s="266"/>
      <c r="V69" s="386"/>
      <c r="W69" s="387">
        <f t="shared" si="4"/>
        <v>0</v>
      </c>
      <c r="X69" s="266"/>
      <c r="Y69" s="386"/>
      <c r="Z69" s="387">
        <f t="shared" si="5"/>
        <v>0</v>
      </c>
      <c r="AA69" s="266"/>
      <c r="AB69" s="386"/>
      <c r="AC69" s="387">
        <f t="shared" si="6"/>
        <v>0</v>
      </c>
      <c r="AD69" s="266"/>
      <c r="AE69" s="386"/>
      <c r="AF69" s="387">
        <f t="shared" si="7"/>
        <v>0</v>
      </c>
      <c r="AG69" s="266"/>
      <c r="AH69" s="386"/>
      <c r="AI69" s="387">
        <f t="shared" si="8"/>
        <v>0</v>
      </c>
      <c r="AJ69" s="266"/>
      <c r="AK69" s="386"/>
      <c r="AL69" s="387">
        <f t="shared" si="9"/>
        <v>0</v>
      </c>
      <c r="AM69" s="388">
        <f t="shared" si="0"/>
        <v>0</v>
      </c>
      <c r="AN69" s="386">
        <f t="shared" si="1"/>
        <v>0</v>
      </c>
      <c r="AO69" s="751"/>
      <c r="AP69" s="752"/>
      <c r="AQ69" s="754"/>
      <c r="AR69" s="756"/>
    </row>
    <row r="70" spans="1:44">
      <c r="A70" s="795"/>
      <c r="B70" s="757"/>
      <c r="C70" s="779"/>
      <c r="D70" s="773"/>
      <c r="E70" s="771"/>
      <c r="F70" s="769"/>
      <c r="G70" s="752"/>
      <c r="H70" s="777"/>
      <c r="I70" s="269">
        <v>6</v>
      </c>
      <c r="J70" s="397"/>
      <c r="K70" s="269"/>
      <c r="L70" s="269"/>
      <c r="M70" s="269"/>
      <c r="N70" s="274"/>
      <c r="O70" s="396"/>
      <c r="P70" s="386"/>
      <c r="Q70" s="387">
        <f t="shared" si="2"/>
        <v>0</v>
      </c>
      <c r="R70" s="387"/>
      <c r="S70" s="386"/>
      <c r="T70" s="387">
        <f t="shared" si="3"/>
        <v>0</v>
      </c>
      <c r="U70" s="266"/>
      <c r="V70" s="386"/>
      <c r="W70" s="387">
        <f t="shared" si="4"/>
        <v>0</v>
      </c>
      <c r="X70" s="266"/>
      <c r="Y70" s="386"/>
      <c r="Z70" s="387">
        <f t="shared" si="5"/>
        <v>0</v>
      </c>
      <c r="AA70" s="266"/>
      <c r="AB70" s="386"/>
      <c r="AC70" s="387">
        <f t="shared" si="6"/>
        <v>0</v>
      </c>
      <c r="AD70" s="266"/>
      <c r="AE70" s="386"/>
      <c r="AF70" s="387">
        <f t="shared" si="7"/>
        <v>0</v>
      </c>
      <c r="AG70" s="266"/>
      <c r="AH70" s="386"/>
      <c r="AI70" s="387">
        <f t="shared" si="8"/>
        <v>0</v>
      </c>
      <c r="AJ70" s="266"/>
      <c r="AK70" s="386"/>
      <c r="AL70" s="387">
        <f t="shared" si="9"/>
        <v>0</v>
      </c>
      <c r="AM70" s="388">
        <f t="shared" si="0"/>
        <v>0</v>
      </c>
      <c r="AN70" s="386">
        <f t="shared" si="1"/>
        <v>0</v>
      </c>
      <c r="AO70" s="751"/>
      <c r="AP70" s="752"/>
      <c r="AQ70" s="754"/>
      <c r="AR70" s="756"/>
    </row>
    <row r="71" spans="1:44">
      <c r="A71" s="795"/>
      <c r="B71" s="757"/>
      <c r="C71" s="779"/>
      <c r="D71" s="773"/>
      <c r="E71" s="771"/>
      <c r="F71" s="769"/>
      <c r="G71" s="752"/>
      <c r="H71" s="777"/>
      <c r="I71" s="269">
        <v>7</v>
      </c>
      <c r="J71" s="397"/>
      <c r="K71" s="269"/>
      <c r="L71" s="269"/>
      <c r="M71" s="269"/>
      <c r="N71" s="274"/>
      <c r="O71" s="396"/>
      <c r="P71" s="386"/>
      <c r="Q71" s="387">
        <f t="shared" si="2"/>
        <v>0</v>
      </c>
      <c r="R71" s="387"/>
      <c r="S71" s="386"/>
      <c r="T71" s="387">
        <f t="shared" si="3"/>
        <v>0</v>
      </c>
      <c r="U71" s="266"/>
      <c r="V71" s="386"/>
      <c r="W71" s="387">
        <f t="shared" si="4"/>
        <v>0</v>
      </c>
      <c r="X71" s="266"/>
      <c r="Y71" s="386"/>
      <c r="Z71" s="387">
        <f t="shared" si="5"/>
        <v>0</v>
      </c>
      <c r="AA71" s="266"/>
      <c r="AB71" s="386"/>
      <c r="AC71" s="387">
        <f t="shared" si="6"/>
        <v>0</v>
      </c>
      <c r="AD71" s="266"/>
      <c r="AE71" s="386"/>
      <c r="AF71" s="387">
        <f t="shared" si="7"/>
        <v>0</v>
      </c>
      <c r="AG71" s="266"/>
      <c r="AH71" s="386"/>
      <c r="AI71" s="387">
        <f t="shared" si="8"/>
        <v>0</v>
      </c>
      <c r="AJ71" s="266"/>
      <c r="AK71" s="386"/>
      <c r="AL71" s="387">
        <f t="shared" si="9"/>
        <v>0</v>
      </c>
      <c r="AM71" s="388">
        <f t="shared" ref="AM71:AM98" si="24">AJ71+AG71+AD71+AA71+X71+U71+R71+O71</f>
        <v>0</v>
      </c>
      <c r="AN71" s="386">
        <f t="shared" ref="AN71:AN98" si="25">AL71+AI71+AF71+AC71+Z71+W71+T71+Q71</f>
        <v>0</v>
      </c>
      <c r="AO71" s="751"/>
      <c r="AP71" s="752"/>
      <c r="AQ71" s="754"/>
      <c r="AR71" s="756"/>
    </row>
    <row r="72" spans="1:44">
      <c r="A72" s="795"/>
      <c r="B72" s="757"/>
      <c r="C72" s="770"/>
      <c r="D72" s="780"/>
      <c r="E72" s="771"/>
      <c r="F72" s="769"/>
      <c r="G72" s="752"/>
      <c r="H72" s="781"/>
      <c r="I72" s="269">
        <v>8</v>
      </c>
      <c r="J72" s="397"/>
      <c r="K72" s="269"/>
      <c r="L72" s="269"/>
      <c r="M72" s="269"/>
      <c r="N72" s="274"/>
      <c r="O72" s="396"/>
      <c r="P72" s="386"/>
      <c r="Q72" s="387">
        <f t="shared" ref="Q72:Q99" si="26">O72*P72</f>
        <v>0</v>
      </c>
      <c r="R72" s="387"/>
      <c r="S72" s="386"/>
      <c r="T72" s="387">
        <f t="shared" ref="T72:T98" si="27">R72*S72</f>
        <v>0</v>
      </c>
      <c r="U72" s="266"/>
      <c r="V72" s="386"/>
      <c r="W72" s="387">
        <f t="shared" ref="W72:W98" si="28">U72*V72</f>
        <v>0</v>
      </c>
      <c r="X72" s="266"/>
      <c r="Y72" s="386"/>
      <c r="Z72" s="387">
        <f t="shared" ref="Z72:Z98" si="29">X72*Y72</f>
        <v>0</v>
      </c>
      <c r="AA72" s="266"/>
      <c r="AB72" s="386"/>
      <c r="AC72" s="387">
        <f t="shared" ref="AC72:AC98" si="30">AA72*AB72</f>
        <v>0</v>
      </c>
      <c r="AD72" s="266"/>
      <c r="AE72" s="386"/>
      <c r="AF72" s="387">
        <f t="shared" ref="AF72:AF98" si="31">AD72*AE72</f>
        <v>0</v>
      </c>
      <c r="AG72" s="266"/>
      <c r="AH72" s="386"/>
      <c r="AI72" s="387">
        <f t="shared" ref="AI72:AI98" si="32">AG72*AH72</f>
        <v>0</v>
      </c>
      <c r="AJ72" s="266"/>
      <c r="AK72" s="386"/>
      <c r="AL72" s="387">
        <f t="shared" ref="AL72:AL98" si="33">AJ72*AK72</f>
        <v>0</v>
      </c>
      <c r="AM72" s="388">
        <f t="shared" si="24"/>
        <v>0</v>
      </c>
      <c r="AN72" s="386">
        <f t="shared" si="25"/>
        <v>0</v>
      </c>
      <c r="AO72" s="751"/>
      <c r="AP72" s="752"/>
      <c r="AQ72" s="765"/>
      <c r="AR72" s="766"/>
    </row>
    <row r="73" spans="1:44">
      <c r="A73" s="795"/>
      <c r="B73" s="757"/>
      <c r="C73" s="772" t="s">
        <v>480</v>
      </c>
      <c r="D73" s="775">
        <f>1182</f>
        <v>1182</v>
      </c>
      <c r="E73" s="771">
        <v>20</v>
      </c>
      <c r="F73" s="769">
        <v>175634</v>
      </c>
      <c r="G73" s="752">
        <f>F73*D73</f>
        <v>207599388</v>
      </c>
      <c r="H73" s="776">
        <f>D73/E73</f>
        <v>59.1</v>
      </c>
      <c r="I73" s="269">
        <v>20</v>
      </c>
      <c r="J73" s="397" t="s">
        <v>481</v>
      </c>
      <c r="K73" s="269"/>
      <c r="L73" s="269"/>
      <c r="M73" s="269"/>
      <c r="N73" s="278" t="s">
        <v>482</v>
      </c>
      <c r="O73" s="396"/>
      <c r="P73" s="386"/>
      <c r="Q73" s="387">
        <f t="shared" si="26"/>
        <v>0</v>
      </c>
      <c r="R73" s="387"/>
      <c r="S73" s="386"/>
      <c r="T73" s="387">
        <f t="shared" si="27"/>
        <v>0</v>
      </c>
      <c r="U73" s="266"/>
      <c r="V73" s="386"/>
      <c r="W73" s="387">
        <f t="shared" si="28"/>
        <v>0</v>
      </c>
      <c r="X73" s="266"/>
      <c r="Y73" s="386"/>
      <c r="Z73" s="387">
        <f t="shared" si="29"/>
        <v>0</v>
      </c>
      <c r="AA73" s="266"/>
      <c r="AB73" s="386"/>
      <c r="AC73" s="387">
        <f t="shared" si="30"/>
        <v>0</v>
      </c>
      <c r="AD73" s="266"/>
      <c r="AE73" s="386"/>
      <c r="AF73" s="387">
        <f t="shared" si="31"/>
        <v>0</v>
      </c>
      <c r="AG73" s="266"/>
      <c r="AH73" s="386"/>
      <c r="AI73" s="387">
        <f t="shared" si="32"/>
        <v>0</v>
      </c>
      <c r="AJ73" s="266"/>
      <c r="AK73" s="386"/>
      <c r="AL73" s="387">
        <f t="shared" si="33"/>
        <v>0</v>
      </c>
      <c r="AM73" s="388">
        <f t="shared" si="24"/>
        <v>0</v>
      </c>
      <c r="AN73" s="386">
        <f t="shared" si="25"/>
        <v>0</v>
      </c>
      <c r="AO73" s="751">
        <f>SUM(AM73:AM79)</f>
        <v>0</v>
      </c>
      <c r="AP73" s="752">
        <f>SUM(AN73:AN79)</f>
        <v>0</v>
      </c>
      <c r="AQ73" s="753">
        <f>AO73-D73</f>
        <v>-1182</v>
      </c>
      <c r="AR73" s="755">
        <f>AP73-G73</f>
        <v>-207599388</v>
      </c>
    </row>
    <row r="74" spans="1:44">
      <c r="A74" s="795"/>
      <c r="B74" s="757"/>
      <c r="C74" s="773"/>
      <c r="D74" s="773"/>
      <c r="E74" s="771"/>
      <c r="F74" s="769"/>
      <c r="G74" s="752"/>
      <c r="H74" s="777"/>
      <c r="I74" s="269"/>
      <c r="J74" s="273" t="s">
        <v>483</v>
      </c>
      <c r="K74" s="269"/>
      <c r="L74" s="269"/>
      <c r="M74" s="269"/>
      <c r="N74" s="274"/>
      <c r="O74" s="396"/>
      <c r="P74" s="386"/>
      <c r="Q74" s="387">
        <f t="shared" si="26"/>
        <v>0</v>
      </c>
      <c r="R74" s="387"/>
      <c r="S74" s="386"/>
      <c r="T74" s="387">
        <f t="shared" si="27"/>
        <v>0</v>
      </c>
      <c r="U74" s="266"/>
      <c r="V74" s="386"/>
      <c r="W74" s="387">
        <f t="shared" si="28"/>
        <v>0</v>
      </c>
      <c r="X74" s="266"/>
      <c r="Y74" s="386"/>
      <c r="Z74" s="387">
        <f t="shared" si="29"/>
        <v>0</v>
      </c>
      <c r="AA74" s="266"/>
      <c r="AB74" s="386"/>
      <c r="AC74" s="387">
        <f t="shared" si="30"/>
        <v>0</v>
      </c>
      <c r="AD74" s="266"/>
      <c r="AE74" s="386"/>
      <c r="AF74" s="387">
        <f t="shared" si="31"/>
        <v>0</v>
      </c>
      <c r="AG74" s="266"/>
      <c r="AH74" s="386"/>
      <c r="AI74" s="387">
        <f t="shared" si="32"/>
        <v>0</v>
      </c>
      <c r="AJ74" s="266"/>
      <c r="AK74" s="386"/>
      <c r="AL74" s="387">
        <f t="shared" si="33"/>
        <v>0</v>
      </c>
      <c r="AM74" s="388">
        <f t="shared" si="24"/>
        <v>0</v>
      </c>
      <c r="AN74" s="386">
        <f t="shared" si="25"/>
        <v>0</v>
      </c>
      <c r="AO74" s="751"/>
      <c r="AP74" s="752"/>
      <c r="AQ74" s="754"/>
      <c r="AR74" s="756"/>
    </row>
    <row r="75" spans="1:44">
      <c r="A75" s="795"/>
      <c r="B75" s="757"/>
      <c r="C75" s="773"/>
      <c r="D75" s="773"/>
      <c r="E75" s="771"/>
      <c r="F75" s="769"/>
      <c r="G75" s="752"/>
      <c r="H75" s="777"/>
      <c r="I75" s="269"/>
      <c r="J75" s="273" t="s">
        <v>484</v>
      </c>
      <c r="K75" s="269"/>
      <c r="L75" s="269"/>
      <c r="M75" s="269"/>
      <c r="N75" s="274"/>
      <c r="O75" s="396"/>
      <c r="P75" s="386"/>
      <c r="Q75" s="387">
        <f t="shared" si="26"/>
        <v>0</v>
      </c>
      <c r="R75" s="387"/>
      <c r="S75" s="386"/>
      <c r="T75" s="387">
        <f t="shared" si="27"/>
        <v>0</v>
      </c>
      <c r="U75" s="266"/>
      <c r="V75" s="386"/>
      <c r="W75" s="387">
        <f t="shared" si="28"/>
        <v>0</v>
      </c>
      <c r="X75" s="266"/>
      <c r="Y75" s="386"/>
      <c r="Z75" s="387">
        <f t="shared" si="29"/>
        <v>0</v>
      </c>
      <c r="AA75" s="266"/>
      <c r="AB75" s="386"/>
      <c r="AC75" s="387">
        <f t="shared" si="30"/>
        <v>0</v>
      </c>
      <c r="AD75" s="266"/>
      <c r="AE75" s="386"/>
      <c r="AF75" s="387">
        <f t="shared" si="31"/>
        <v>0</v>
      </c>
      <c r="AG75" s="266"/>
      <c r="AH75" s="386"/>
      <c r="AI75" s="387">
        <f t="shared" si="32"/>
        <v>0</v>
      </c>
      <c r="AJ75" s="266"/>
      <c r="AK75" s="386"/>
      <c r="AL75" s="387">
        <f t="shared" si="33"/>
        <v>0</v>
      </c>
      <c r="AM75" s="388">
        <f t="shared" si="24"/>
        <v>0</v>
      </c>
      <c r="AN75" s="386">
        <f t="shared" si="25"/>
        <v>0</v>
      </c>
      <c r="AO75" s="751"/>
      <c r="AP75" s="752"/>
      <c r="AQ75" s="754"/>
      <c r="AR75" s="756"/>
    </row>
    <row r="76" spans="1:44">
      <c r="A76" s="795"/>
      <c r="B76" s="757"/>
      <c r="C76" s="773"/>
      <c r="D76" s="773"/>
      <c r="E76" s="771"/>
      <c r="F76" s="769"/>
      <c r="G76" s="752"/>
      <c r="H76" s="777"/>
      <c r="I76" s="269"/>
      <c r="J76" s="273" t="s">
        <v>485</v>
      </c>
      <c r="K76" s="269"/>
      <c r="L76" s="269"/>
      <c r="M76" s="269"/>
      <c r="N76" s="274"/>
      <c r="O76" s="396"/>
      <c r="P76" s="386"/>
      <c r="Q76" s="387">
        <f t="shared" si="26"/>
        <v>0</v>
      </c>
      <c r="R76" s="387"/>
      <c r="S76" s="386"/>
      <c r="T76" s="387">
        <f t="shared" si="27"/>
        <v>0</v>
      </c>
      <c r="U76" s="266"/>
      <c r="V76" s="386"/>
      <c r="W76" s="387">
        <f t="shared" si="28"/>
        <v>0</v>
      </c>
      <c r="X76" s="266"/>
      <c r="Y76" s="386"/>
      <c r="Z76" s="387">
        <f t="shared" si="29"/>
        <v>0</v>
      </c>
      <c r="AA76" s="266"/>
      <c r="AB76" s="386"/>
      <c r="AC76" s="387">
        <f t="shared" si="30"/>
        <v>0</v>
      </c>
      <c r="AD76" s="266"/>
      <c r="AE76" s="386"/>
      <c r="AF76" s="387">
        <f t="shared" si="31"/>
        <v>0</v>
      </c>
      <c r="AG76" s="266"/>
      <c r="AH76" s="386"/>
      <c r="AI76" s="387">
        <f t="shared" si="32"/>
        <v>0</v>
      </c>
      <c r="AJ76" s="266"/>
      <c r="AK76" s="386"/>
      <c r="AL76" s="387">
        <f t="shared" si="33"/>
        <v>0</v>
      </c>
      <c r="AM76" s="388">
        <f t="shared" si="24"/>
        <v>0</v>
      </c>
      <c r="AN76" s="386">
        <f t="shared" si="25"/>
        <v>0</v>
      </c>
      <c r="AO76" s="751"/>
      <c r="AP76" s="752"/>
      <c r="AQ76" s="754"/>
      <c r="AR76" s="756"/>
    </row>
    <row r="77" spans="1:44">
      <c r="A77" s="795"/>
      <c r="B77" s="757"/>
      <c r="C77" s="773"/>
      <c r="D77" s="773"/>
      <c r="E77" s="771"/>
      <c r="F77" s="769"/>
      <c r="G77" s="752"/>
      <c r="H77" s="777"/>
      <c r="I77" s="269"/>
      <c r="J77" s="273" t="s">
        <v>486</v>
      </c>
      <c r="K77" s="269"/>
      <c r="L77" s="269"/>
      <c r="M77" s="269"/>
      <c r="N77" s="274"/>
      <c r="O77" s="396"/>
      <c r="P77" s="386"/>
      <c r="Q77" s="387">
        <f t="shared" si="26"/>
        <v>0</v>
      </c>
      <c r="R77" s="387"/>
      <c r="S77" s="386"/>
      <c r="T77" s="387">
        <f t="shared" si="27"/>
        <v>0</v>
      </c>
      <c r="U77" s="266"/>
      <c r="V77" s="386"/>
      <c r="W77" s="387">
        <f t="shared" si="28"/>
        <v>0</v>
      </c>
      <c r="X77" s="266"/>
      <c r="Y77" s="386"/>
      <c r="Z77" s="387">
        <f t="shared" si="29"/>
        <v>0</v>
      </c>
      <c r="AA77" s="266"/>
      <c r="AB77" s="386"/>
      <c r="AC77" s="387">
        <f t="shared" si="30"/>
        <v>0</v>
      </c>
      <c r="AD77" s="266"/>
      <c r="AE77" s="386"/>
      <c r="AF77" s="387">
        <f t="shared" si="31"/>
        <v>0</v>
      </c>
      <c r="AG77" s="266"/>
      <c r="AH77" s="386"/>
      <c r="AI77" s="387">
        <f t="shared" si="32"/>
        <v>0</v>
      </c>
      <c r="AJ77" s="266"/>
      <c r="AK77" s="386"/>
      <c r="AL77" s="387">
        <f t="shared" si="33"/>
        <v>0</v>
      </c>
      <c r="AM77" s="388">
        <f t="shared" si="24"/>
        <v>0</v>
      </c>
      <c r="AN77" s="386">
        <f t="shared" si="25"/>
        <v>0</v>
      </c>
      <c r="AO77" s="751"/>
      <c r="AP77" s="752"/>
      <c r="AQ77" s="754"/>
      <c r="AR77" s="756"/>
    </row>
    <row r="78" spans="1:44">
      <c r="A78" s="795"/>
      <c r="B78" s="757"/>
      <c r="C78" s="773"/>
      <c r="D78" s="773"/>
      <c r="E78" s="771"/>
      <c r="F78" s="769"/>
      <c r="G78" s="752"/>
      <c r="H78" s="777"/>
      <c r="I78" s="269"/>
      <c r="J78" s="273" t="s">
        <v>487</v>
      </c>
      <c r="K78" s="269"/>
      <c r="L78" s="269"/>
      <c r="M78" s="269"/>
      <c r="N78" s="274"/>
      <c r="O78" s="396"/>
      <c r="P78" s="386"/>
      <c r="Q78" s="387">
        <f t="shared" si="26"/>
        <v>0</v>
      </c>
      <c r="R78" s="387"/>
      <c r="S78" s="386"/>
      <c r="T78" s="387">
        <f t="shared" si="27"/>
        <v>0</v>
      </c>
      <c r="U78" s="266"/>
      <c r="V78" s="386"/>
      <c r="W78" s="387">
        <f t="shared" si="28"/>
        <v>0</v>
      </c>
      <c r="X78" s="266"/>
      <c r="Y78" s="386"/>
      <c r="Z78" s="387">
        <f t="shared" si="29"/>
        <v>0</v>
      </c>
      <c r="AA78" s="266"/>
      <c r="AB78" s="386"/>
      <c r="AC78" s="387">
        <f t="shared" si="30"/>
        <v>0</v>
      </c>
      <c r="AD78" s="266"/>
      <c r="AE78" s="386"/>
      <c r="AF78" s="387">
        <f t="shared" si="31"/>
        <v>0</v>
      </c>
      <c r="AG78" s="266"/>
      <c r="AH78" s="386"/>
      <c r="AI78" s="387">
        <f t="shared" si="32"/>
        <v>0</v>
      </c>
      <c r="AJ78" s="266"/>
      <c r="AK78" s="386"/>
      <c r="AL78" s="387">
        <f t="shared" si="33"/>
        <v>0</v>
      </c>
      <c r="AM78" s="388">
        <f t="shared" si="24"/>
        <v>0</v>
      </c>
      <c r="AN78" s="386">
        <f t="shared" si="25"/>
        <v>0</v>
      </c>
      <c r="AO78" s="751"/>
      <c r="AP78" s="752"/>
      <c r="AQ78" s="754"/>
      <c r="AR78" s="756"/>
    </row>
    <row r="79" spans="1:44">
      <c r="A79" s="795"/>
      <c r="B79" s="757"/>
      <c r="C79" s="774"/>
      <c r="D79" s="774"/>
      <c r="E79" s="771"/>
      <c r="F79" s="769"/>
      <c r="G79" s="752"/>
      <c r="H79" s="777"/>
      <c r="I79" s="376"/>
      <c r="J79" s="265"/>
      <c r="K79" s="269"/>
      <c r="L79" s="269"/>
      <c r="M79" s="269"/>
      <c r="N79" s="274"/>
      <c r="O79" s="396"/>
      <c r="P79" s="386"/>
      <c r="Q79" s="387">
        <f t="shared" si="26"/>
        <v>0</v>
      </c>
      <c r="R79" s="387"/>
      <c r="S79" s="386"/>
      <c r="T79" s="387">
        <f t="shared" si="27"/>
        <v>0</v>
      </c>
      <c r="U79" s="266"/>
      <c r="V79" s="386"/>
      <c r="W79" s="387">
        <f t="shared" si="28"/>
        <v>0</v>
      </c>
      <c r="X79" s="266"/>
      <c r="Y79" s="386"/>
      <c r="Z79" s="387">
        <f t="shared" si="29"/>
        <v>0</v>
      </c>
      <c r="AA79" s="266"/>
      <c r="AB79" s="386"/>
      <c r="AC79" s="387">
        <f t="shared" si="30"/>
        <v>0</v>
      </c>
      <c r="AD79" s="266"/>
      <c r="AE79" s="386"/>
      <c r="AF79" s="387">
        <f t="shared" si="31"/>
        <v>0</v>
      </c>
      <c r="AG79" s="266"/>
      <c r="AH79" s="386"/>
      <c r="AI79" s="387">
        <f t="shared" si="32"/>
        <v>0</v>
      </c>
      <c r="AJ79" s="266"/>
      <c r="AK79" s="386"/>
      <c r="AL79" s="387">
        <f t="shared" si="33"/>
        <v>0</v>
      </c>
      <c r="AM79" s="388">
        <f t="shared" si="24"/>
        <v>0</v>
      </c>
      <c r="AN79" s="386">
        <f t="shared" si="25"/>
        <v>0</v>
      </c>
      <c r="AO79" s="751"/>
      <c r="AP79" s="752"/>
      <c r="AQ79" s="765"/>
      <c r="AR79" s="766"/>
    </row>
    <row r="80" spans="1:44">
      <c r="A80" s="795"/>
      <c r="B80" s="770" t="s">
        <v>217</v>
      </c>
      <c r="C80" s="279" t="s">
        <v>218</v>
      </c>
      <c r="D80" s="268">
        <v>1044</v>
      </c>
      <c r="E80" s="215">
        <v>13</v>
      </c>
      <c r="F80" s="398">
        <v>175634</v>
      </c>
      <c r="G80" s="399">
        <f>F80*D80</f>
        <v>183361896</v>
      </c>
      <c r="H80" s="400">
        <f>D80/E80</f>
        <v>80.307692307692307</v>
      </c>
      <c r="I80" s="215">
        <v>13</v>
      </c>
      <c r="J80" s="401" t="s">
        <v>488</v>
      </c>
      <c r="K80" s="215"/>
      <c r="L80" s="215"/>
      <c r="M80" s="215"/>
      <c r="N80" s="274"/>
      <c r="O80" s="396"/>
      <c r="P80" s="386"/>
      <c r="Q80" s="387">
        <f t="shared" si="26"/>
        <v>0</v>
      </c>
      <c r="R80" s="387"/>
      <c r="S80" s="386"/>
      <c r="T80" s="387">
        <f t="shared" si="27"/>
        <v>0</v>
      </c>
      <c r="U80" s="266"/>
      <c r="V80" s="386"/>
      <c r="W80" s="387">
        <f t="shared" si="28"/>
        <v>0</v>
      </c>
      <c r="X80" s="266"/>
      <c r="Y80" s="386"/>
      <c r="Z80" s="387">
        <f t="shared" si="29"/>
        <v>0</v>
      </c>
      <c r="AA80" s="266"/>
      <c r="AB80" s="386"/>
      <c r="AC80" s="387">
        <f t="shared" si="30"/>
        <v>0</v>
      </c>
      <c r="AD80" s="266"/>
      <c r="AE80" s="386"/>
      <c r="AF80" s="387">
        <f t="shared" si="31"/>
        <v>0</v>
      </c>
      <c r="AG80" s="266"/>
      <c r="AH80" s="386"/>
      <c r="AI80" s="387">
        <f t="shared" si="32"/>
        <v>0</v>
      </c>
      <c r="AJ80" s="266"/>
      <c r="AK80" s="386"/>
      <c r="AL80" s="387">
        <f t="shared" si="33"/>
        <v>0</v>
      </c>
      <c r="AM80" s="388">
        <f>AJ80+AG80+AD80+AA80+X80+U80+R80+O80</f>
        <v>0</v>
      </c>
      <c r="AN80" s="386">
        <f t="shared" si="25"/>
        <v>0</v>
      </c>
      <c r="AO80" s="402">
        <f>AM80</f>
        <v>0</v>
      </c>
      <c r="AP80" s="399">
        <f>AN80</f>
        <v>0</v>
      </c>
      <c r="AQ80" s="403">
        <f>AO80-D80</f>
        <v>-1044</v>
      </c>
      <c r="AR80" s="404">
        <f>AP80-G80</f>
        <v>-183361896</v>
      </c>
    </row>
    <row r="81" spans="1:44" ht="20.25">
      <c r="A81" s="795"/>
      <c r="B81" s="771"/>
      <c r="C81" s="270" t="s">
        <v>221</v>
      </c>
      <c r="D81" s="679">
        <v>192</v>
      </c>
      <c r="E81" s="757">
        <v>2</v>
      </c>
      <c r="F81" s="763">
        <v>175634</v>
      </c>
      <c r="G81" s="763">
        <f t="shared" ref="G81:G84" si="34">F81*D81</f>
        <v>33721728</v>
      </c>
      <c r="H81" s="851">
        <f>D81/E81</f>
        <v>96</v>
      </c>
      <c r="I81" s="757">
        <v>2</v>
      </c>
      <c r="J81" s="405" t="s">
        <v>489</v>
      </c>
      <c r="K81" s="215"/>
      <c r="L81" s="215"/>
      <c r="M81" s="215"/>
      <c r="N81" s="274"/>
      <c r="O81" s="396"/>
      <c r="P81" s="386"/>
      <c r="Q81" s="387">
        <f t="shared" si="26"/>
        <v>0</v>
      </c>
      <c r="R81" s="387"/>
      <c r="S81" s="386"/>
      <c r="T81" s="387">
        <f t="shared" si="27"/>
        <v>0</v>
      </c>
      <c r="U81" s="266"/>
      <c r="V81" s="386"/>
      <c r="W81" s="387">
        <f t="shared" si="28"/>
        <v>0</v>
      </c>
      <c r="X81" s="266"/>
      <c r="Y81" s="386"/>
      <c r="Z81" s="387">
        <f t="shared" si="29"/>
        <v>0</v>
      </c>
      <c r="AA81" s="266"/>
      <c r="AB81" s="386"/>
      <c r="AC81" s="387">
        <f t="shared" si="30"/>
        <v>0</v>
      </c>
      <c r="AD81" s="266"/>
      <c r="AE81" s="386"/>
      <c r="AF81" s="387">
        <f t="shared" si="31"/>
        <v>0</v>
      </c>
      <c r="AG81" s="266"/>
      <c r="AH81" s="386"/>
      <c r="AI81" s="387">
        <f t="shared" si="32"/>
        <v>0</v>
      </c>
      <c r="AJ81" s="266"/>
      <c r="AK81" s="386"/>
      <c r="AL81" s="387">
        <f t="shared" si="33"/>
        <v>0</v>
      </c>
      <c r="AM81" s="388">
        <f t="shared" si="24"/>
        <v>0</v>
      </c>
      <c r="AN81" s="386">
        <f t="shared" si="25"/>
        <v>0</v>
      </c>
      <c r="AO81" s="761">
        <f>AM81+AM82</f>
        <v>0</v>
      </c>
      <c r="AP81" s="763">
        <f>AN81+AN82</f>
        <v>0</v>
      </c>
      <c r="AQ81" s="753">
        <f t="shared" ref="AQ81:AQ84" si="35">AO81-D81</f>
        <v>-192</v>
      </c>
      <c r="AR81" s="755">
        <f>AP81-G81</f>
        <v>-33721728</v>
      </c>
    </row>
    <row r="82" spans="1:44" ht="20.25">
      <c r="A82" s="795"/>
      <c r="B82" s="771"/>
      <c r="C82" s="270" t="s">
        <v>224</v>
      </c>
      <c r="D82" s="680"/>
      <c r="E82" s="757"/>
      <c r="F82" s="764"/>
      <c r="G82" s="764"/>
      <c r="H82" s="851"/>
      <c r="I82" s="757"/>
      <c r="J82" s="405" t="s">
        <v>490</v>
      </c>
      <c r="K82" s="215"/>
      <c r="L82" s="215"/>
      <c r="M82" s="215"/>
      <c r="N82" s="274"/>
      <c r="O82" s="396"/>
      <c r="P82" s="386"/>
      <c r="Q82" s="387">
        <f t="shared" si="26"/>
        <v>0</v>
      </c>
      <c r="R82" s="387"/>
      <c r="S82" s="386"/>
      <c r="T82" s="387">
        <f t="shared" si="27"/>
        <v>0</v>
      </c>
      <c r="U82" s="266"/>
      <c r="V82" s="386"/>
      <c r="W82" s="387">
        <f t="shared" si="28"/>
        <v>0</v>
      </c>
      <c r="X82" s="266"/>
      <c r="Y82" s="386"/>
      <c r="Z82" s="387">
        <f t="shared" si="29"/>
        <v>0</v>
      </c>
      <c r="AA82" s="266"/>
      <c r="AB82" s="386"/>
      <c r="AC82" s="387">
        <f t="shared" si="30"/>
        <v>0</v>
      </c>
      <c r="AD82" s="266"/>
      <c r="AE82" s="386"/>
      <c r="AF82" s="387">
        <f t="shared" si="31"/>
        <v>0</v>
      </c>
      <c r="AG82" s="266"/>
      <c r="AH82" s="386"/>
      <c r="AI82" s="387">
        <f t="shared" si="32"/>
        <v>0</v>
      </c>
      <c r="AJ82" s="266"/>
      <c r="AK82" s="386"/>
      <c r="AL82" s="387">
        <f t="shared" si="33"/>
        <v>0</v>
      </c>
      <c r="AM82" s="388">
        <f t="shared" si="24"/>
        <v>0</v>
      </c>
      <c r="AN82" s="386">
        <f t="shared" si="25"/>
        <v>0</v>
      </c>
      <c r="AO82" s="762"/>
      <c r="AP82" s="764"/>
      <c r="AQ82" s="765"/>
      <c r="AR82" s="766"/>
    </row>
    <row r="83" spans="1:44">
      <c r="A83" s="795"/>
      <c r="B83" s="771"/>
      <c r="C83" s="270" t="s">
        <v>227</v>
      </c>
      <c r="D83" s="268">
        <v>336</v>
      </c>
      <c r="E83" s="215">
        <v>3</v>
      </c>
      <c r="F83" s="398">
        <v>175634</v>
      </c>
      <c r="G83" s="399">
        <f t="shared" si="34"/>
        <v>59013024</v>
      </c>
      <c r="H83" s="400">
        <f>D83/E83</f>
        <v>112</v>
      </c>
      <c r="I83" s="215">
        <v>3</v>
      </c>
      <c r="J83" s="405" t="s">
        <v>491</v>
      </c>
      <c r="K83" s="215"/>
      <c r="L83" s="215"/>
      <c r="M83" s="215"/>
      <c r="N83" s="274"/>
      <c r="O83" s="396"/>
      <c r="P83" s="386"/>
      <c r="Q83" s="387">
        <f t="shared" si="26"/>
        <v>0</v>
      </c>
      <c r="R83" s="387"/>
      <c r="S83" s="386"/>
      <c r="T83" s="387">
        <f t="shared" si="27"/>
        <v>0</v>
      </c>
      <c r="U83" s="266"/>
      <c r="V83" s="386"/>
      <c r="W83" s="387">
        <f t="shared" si="28"/>
        <v>0</v>
      </c>
      <c r="X83" s="266"/>
      <c r="Y83" s="386"/>
      <c r="Z83" s="387">
        <f t="shared" si="29"/>
        <v>0</v>
      </c>
      <c r="AA83" s="266"/>
      <c r="AB83" s="386"/>
      <c r="AC83" s="387">
        <f t="shared" si="30"/>
        <v>0</v>
      </c>
      <c r="AD83" s="266"/>
      <c r="AE83" s="386"/>
      <c r="AF83" s="387">
        <f t="shared" si="31"/>
        <v>0</v>
      </c>
      <c r="AG83" s="266"/>
      <c r="AH83" s="386"/>
      <c r="AI83" s="387">
        <f t="shared" si="32"/>
        <v>0</v>
      </c>
      <c r="AJ83" s="266"/>
      <c r="AK83" s="386"/>
      <c r="AL83" s="387">
        <f t="shared" si="33"/>
        <v>0</v>
      </c>
      <c r="AM83" s="388">
        <f t="shared" si="24"/>
        <v>0</v>
      </c>
      <c r="AN83" s="386">
        <f t="shared" si="25"/>
        <v>0</v>
      </c>
      <c r="AO83" s="402">
        <f>AM83</f>
        <v>0</v>
      </c>
      <c r="AP83" s="399">
        <f>AN83</f>
        <v>0</v>
      </c>
      <c r="AQ83" s="403">
        <f t="shared" si="35"/>
        <v>-336</v>
      </c>
      <c r="AR83" s="404">
        <f t="shared" ref="AR83:AR92" si="36">AP83-G83</f>
        <v>-59013024</v>
      </c>
    </row>
    <row r="84" spans="1:44" ht="20.25">
      <c r="A84" s="795"/>
      <c r="B84" s="771"/>
      <c r="C84" s="270" t="s">
        <v>230</v>
      </c>
      <c r="D84" s="268">
        <v>336</v>
      </c>
      <c r="E84" s="215">
        <v>3</v>
      </c>
      <c r="F84" s="398">
        <v>175634</v>
      </c>
      <c r="G84" s="399">
        <f t="shared" si="34"/>
        <v>59013024</v>
      </c>
      <c r="H84" s="400">
        <f>D84/E84</f>
        <v>112</v>
      </c>
      <c r="I84" s="215">
        <v>3</v>
      </c>
      <c r="J84" s="405" t="s">
        <v>492</v>
      </c>
      <c r="K84" s="215"/>
      <c r="L84" s="215"/>
      <c r="M84" s="215"/>
      <c r="N84" s="274"/>
      <c r="O84" s="396"/>
      <c r="P84" s="386"/>
      <c r="Q84" s="387">
        <f t="shared" si="26"/>
        <v>0</v>
      </c>
      <c r="R84" s="387"/>
      <c r="S84" s="386"/>
      <c r="T84" s="387">
        <f t="shared" si="27"/>
        <v>0</v>
      </c>
      <c r="U84" s="266"/>
      <c r="V84" s="386"/>
      <c r="W84" s="387">
        <f t="shared" si="28"/>
        <v>0</v>
      </c>
      <c r="X84" s="266"/>
      <c r="Y84" s="386"/>
      <c r="Z84" s="387">
        <f t="shared" si="29"/>
        <v>0</v>
      </c>
      <c r="AA84" s="266"/>
      <c r="AB84" s="386"/>
      <c r="AC84" s="387">
        <f t="shared" si="30"/>
        <v>0</v>
      </c>
      <c r="AD84" s="266"/>
      <c r="AE84" s="386"/>
      <c r="AF84" s="387">
        <f t="shared" si="31"/>
        <v>0</v>
      </c>
      <c r="AG84" s="266"/>
      <c r="AH84" s="386"/>
      <c r="AI84" s="387">
        <f t="shared" si="32"/>
        <v>0</v>
      </c>
      <c r="AJ84" s="266"/>
      <c r="AK84" s="386"/>
      <c r="AL84" s="387">
        <f t="shared" si="33"/>
        <v>0</v>
      </c>
      <c r="AM84" s="388">
        <f t="shared" si="24"/>
        <v>0</v>
      </c>
      <c r="AN84" s="386">
        <f t="shared" si="25"/>
        <v>0</v>
      </c>
      <c r="AO84" s="402">
        <f>AM84</f>
        <v>0</v>
      </c>
      <c r="AP84" s="399">
        <f>AN84</f>
        <v>0</v>
      </c>
      <c r="AQ84" s="403">
        <f t="shared" si="35"/>
        <v>-336</v>
      </c>
      <c r="AR84" s="404">
        <f t="shared" si="36"/>
        <v>-59013024</v>
      </c>
    </row>
    <row r="85" spans="1:44">
      <c r="A85" s="795"/>
      <c r="B85" s="771"/>
      <c r="C85" s="270"/>
      <c r="D85" s="406"/>
      <c r="E85" s="270"/>
      <c r="F85" s="398"/>
      <c r="G85" s="399"/>
      <c r="H85" s="407"/>
      <c r="I85" s="215"/>
      <c r="J85" s="405" t="s">
        <v>493</v>
      </c>
      <c r="K85" s="215"/>
      <c r="L85" s="215"/>
      <c r="M85" s="215"/>
      <c r="N85" s="274"/>
      <c r="O85" s="396"/>
      <c r="P85" s="386"/>
      <c r="Q85" s="387">
        <f t="shared" si="26"/>
        <v>0</v>
      </c>
      <c r="R85" s="387"/>
      <c r="S85" s="386"/>
      <c r="T85" s="387">
        <f t="shared" si="27"/>
        <v>0</v>
      </c>
      <c r="U85" s="266"/>
      <c r="V85" s="386"/>
      <c r="W85" s="387">
        <f t="shared" si="28"/>
        <v>0</v>
      </c>
      <c r="X85" s="266"/>
      <c r="Y85" s="386"/>
      <c r="Z85" s="387">
        <f t="shared" si="29"/>
        <v>0</v>
      </c>
      <c r="AA85" s="266"/>
      <c r="AB85" s="386"/>
      <c r="AC85" s="387">
        <f t="shared" si="30"/>
        <v>0</v>
      </c>
      <c r="AD85" s="266"/>
      <c r="AE85" s="386"/>
      <c r="AF85" s="387">
        <f t="shared" si="31"/>
        <v>0</v>
      </c>
      <c r="AG85" s="266"/>
      <c r="AH85" s="386"/>
      <c r="AI85" s="387">
        <f t="shared" si="32"/>
        <v>0</v>
      </c>
      <c r="AJ85" s="266"/>
      <c r="AK85" s="386"/>
      <c r="AL85" s="387">
        <f t="shared" si="33"/>
        <v>0</v>
      </c>
      <c r="AM85" s="388">
        <f t="shared" si="24"/>
        <v>0</v>
      </c>
      <c r="AN85" s="386">
        <f t="shared" si="25"/>
        <v>0</v>
      </c>
      <c r="AO85" s="402"/>
      <c r="AP85" s="399"/>
      <c r="AQ85" s="408"/>
      <c r="AR85" s="409"/>
    </row>
    <row r="86" spans="1:44">
      <c r="A86" s="795"/>
      <c r="B86" s="771"/>
      <c r="C86" s="270"/>
      <c r="D86" s="406"/>
      <c r="E86" s="270"/>
      <c r="F86" s="398"/>
      <c r="G86" s="399"/>
      <c r="H86" s="407"/>
      <c r="I86" s="215"/>
      <c r="J86" s="410" t="s">
        <v>494</v>
      </c>
      <c r="K86" s="215"/>
      <c r="L86" s="215"/>
      <c r="M86" s="215"/>
      <c r="N86" s="274"/>
      <c r="O86" s="396"/>
      <c r="P86" s="386"/>
      <c r="Q86" s="387">
        <f t="shared" si="26"/>
        <v>0</v>
      </c>
      <c r="R86" s="387"/>
      <c r="S86" s="386"/>
      <c r="T86" s="387">
        <f t="shared" si="27"/>
        <v>0</v>
      </c>
      <c r="U86" s="266"/>
      <c r="V86" s="386"/>
      <c r="W86" s="387">
        <f t="shared" si="28"/>
        <v>0</v>
      </c>
      <c r="X86" s="266"/>
      <c r="Y86" s="386"/>
      <c r="Z86" s="387">
        <f t="shared" si="29"/>
        <v>0</v>
      </c>
      <c r="AA86" s="266"/>
      <c r="AB86" s="386"/>
      <c r="AC86" s="387">
        <f t="shared" si="30"/>
        <v>0</v>
      </c>
      <c r="AD86" s="266"/>
      <c r="AE86" s="386"/>
      <c r="AF86" s="387">
        <f t="shared" si="31"/>
        <v>0</v>
      </c>
      <c r="AG86" s="266"/>
      <c r="AH86" s="386"/>
      <c r="AI86" s="387">
        <f t="shared" si="32"/>
        <v>0</v>
      </c>
      <c r="AJ86" s="266"/>
      <c r="AK86" s="386"/>
      <c r="AL86" s="387">
        <f t="shared" si="33"/>
        <v>0</v>
      </c>
      <c r="AM86" s="388">
        <f t="shared" si="24"/>
        <v>0</v>
      </c>
      <c r="AN86" s="386">
        <f t="shared" si="25"/>
        <v>0</v>
      </c>
      <c r="AO86" s="402"/>
      <c r="AP86" s="399"/>
      <c r="AQ86" s="408"/>
      <c r="AR86" s="409"/>
    </row>
    <row r="87" spans="1:44">
      <c r="A87" s="795"/>
      <c r="B87" s="771"/>
      <c r="C87" s="270"/>
      <c r="D87" s="406"/>
      <c r="E87" s="270"/>
      <c r="F87" s="398"/>
      <c r="G87" s="399"/>
      <c r="H87" s="407"/>
      <c r="I87" s="215"/>
      <c r="J87" s="410" t="s">
        <v>495</v>
      </c>
      <c r="K87" s="215"/>
      <c r="L87" s="215"/>
      <c r="M87" s="215"/>
      <c r="N87" s="274"/>
      <c r="O87" s="396"/>
      <c r="P87" s="386"/>
      <c r="Q87" s="387">
        <f t="shared" si="26"/>
        <v>0</v>
      </c>
      <c r="R87" s="387"/>
      <c r="S87" s="386"/>
      <c r="T87" s="387">
        <f t="shared" si="27"/>
        <v>0</v>
      </c>
      <c r="U87" s="266"/>
      <c r="V87" s="386"/>
      <c r="W87" s="387">
        <f t="shared" si="28"/>
        <v>0</v>
      </c>
      <c r="X87" s="266"/>
      <c r="Y87" s="386"/>
      <c r="Z87" s="387">
        <f t="shared" si="29"/>
        <v>0</v>
      </c>
      <c r="AA87" s="266"/>
      <c r="AB87" s="386"/>
      <c r="AC87" s="387">
        <f t="shared" si="30"/>
        <v>0</v>
      </c>
      <c r="AD87" s="266"/>
      <c r="AE87" s="386"/>
      <c r="AF87" s="387">
        <f t="shared" si="31"/>
        <v>0</v>
      </c>
      <c r="AG87" s="266"/>
      <c r="AH87" s="386"/>
      <c r="AI87" s="387">
        <f t="shared" si="32"/>
        <v>0</v>
      </c>
      <c r="AJ87" s="266"/>
      <c r="AK87" s="386"/>
      <c r="AL87" s="387">
        <f t="shared" si="33"/>
        <v>0</v>
      </c>
      <c r="AM87" s="388">
        <f t="shared" si="24"/>
        <v>0</v>
      </c>
      <c r="AN87" s="386">
        <f t="shared" si="25"/>
        <v>0</v>
      </c>
      <c r="AO87" s="402"/>
      <c r="AP87" s="399"/>
      <c r="AQ87" s="408"/>
      <c r="AR87" s="409"/>
    </row>
    <row r="88" spans="1:44">
      <c r="A88" s="795"/>
      <c r="B88" s="771"/>
      <c r="C88" s="270"/>
      <c r="D88" s="406"/>
      <c r="E88" s="270"/>
      <c r="F88" s="398"/>
      <c r="G88" s="399"/>
      <c r="H88" s="407"/>
      <c r="I88" s="215"/>
      <c r="J88" s="410" t="s">
        <v>496</v>
      </c>
      <c r="K88" s="215"/>
      <c r="L88" s="215"/>
      <c r="M88" s="215"/>
      <c r="N88" s="274"/>
      <c r="O88" s="396"/>
      <c r="P88" s="386"/>
      <c r="Q88" s="387">
        <f t="shared" si="26"/>
        <v>0</v>
      </c>
      <c r="R88" s="387"/>
      <c r="S88" s="386"/>
      <c r="T88" s="387">
        <f t="shared" si="27"/>
        <v>0</v>
      </c>
      <c r="U88" s="266"/>
      <c r="V88" s="386"/>
      <c r="W88" s="387">
        <f t="shared" si="28"/>
        <v>0</v>
      </c>
      <c r="X88" s="266"/>
      <c r="Y88" s="386"/>
      <c r="Z88" s="387">
        <f t="shared" si="29"/>
        <v>0</v>
      </c>
      <c r="AA88" s="266"/>
      <c r="AB88" s="386"/>
      <c r="AC88" s="387">
        <f t="shared" si="30"/>
        <v>0</v>
      </c>
      <c r="AD88" s="266"/>
      <c r="AE88" s="386"/>
      <c r="AF88" s="387">
        <f t="shared" si="31"/>
        <v>0</v>
      </c>
      <c r="AG88" s="266"/>
      <c r="AH88" s="386"/>
      <c r="AI88" s="387">
        <f t="shared" si="32"/>
        <v>0</v>
      </c>
      <c r="AJ88" s="266"/>
      <c r="AK88" s="386"/>
      <c r="AL88" s="387">
        <f t="shared" si="33"/>
        <v>0</v>
      </c>
      <c r="AM88" s="388">
        <f t="shared" si="24"/>
        <v>0</v>
      </c>
      <c r="AN88" s="386">
        <f t="shared" si="25"/>
        <v>0</v>
      </c>
      <c r="AO88" s="402"/>
      <c r="AP88" s="399"/>
      <c r="AQ88" s="408"/>
      <c r="AR88" s="409"/>
    </row>
    <row r="89" spans="1:44">
      <c r="A89" s="795"/>
      <c r="B89" s="771"/>
      <c r="C89" s="270"/>
      <c r="D89" s="406"/>
      <c r="E89" s="270"/>
      <c r="F89" s="398"/>
      <c r="G89" s="399"/>
      <c r="H89" s="407"/>
      <c r="I89" s="215"/>
      <c r="J89" s="410" t="s">
        <v>497</v>
      </c>
      <c r="K89" s="215"/>
      <c r="L89" s="215"/>
      <c r="M89" s="215"/>
      <c r="N89" s="274"/>
      <c r="O89" s="396"/>
      <c r="P89" s="386"/>
      <c r="Q89" s="387">
        <f t="shared" si="26"/>
        <v>0</v>
      </c>
      <c r="R89" s="387"/>
      <c r="S89" s="386"/>
      <c r="T89" s="387">
        <f t="shared" si="27"/>
        <v>0</v>
      </c>
      <c r="U89" s="266"/>
      <c r="V89" s="386"/>
      <c r="W89" s="387">
        <f t="shared" si="28"/>
        <v>0</v>
      </c>
      <c r="X89" s="266"/>
      <c r="Y89" s="386"/>
      <c r="Z89" s="387">
        <f t="shared" si="29"/>
        <v>0</v>
      </c>
      <c r="AA89" s="266"/>
      <c r="AB89" s="386"/>
      <c r="AC89" s="387">
        <f t="shared" si="30"/>
        <v>0</v>
      </c>
      <c r="AD89" s="266"/>
      <c r="AE89" s="386"/>
      <c r="AF89" s="387">
        <f t="shared" si="31"/>
        <v>0</v>
      </c>
      <c r="AG89" s="266"/>
      <c r="AH89" s="386"/>
      <c r="AI89" s="387">
        <f t="shared" si="32"/>
        <v>0</v>
      </c>
      <c r="AJ89" s="266"/>
      <c r="AK89" s="386"/>
      <c r="AL89" s="387">
        <f t="shared" si="33"/>
        <v>0</v>
      </c>
      <c r="AM89" s="388">
        <f t="shared" si="24"/>
        <v>0</v>
      </c>
      <c r="AN89" s="386">
        <f t="shared" si="25"/>
        <v>0</v>
      </c>
      <c r="AO89" s="402"/>
      <c r="AP89" s="399"/>
      <c r="AQ89" s="411"/>
      <c r="AR89" s="412"/>
    </row>
    <row r="90" spans="1:44">
      <c r="A90" s="795"/>
      <c r="B90" s="757" t="s">
        <v>233</v>
      </c>
      <c r="C90" s="270" t="s">
        <v>234</v>
      </c>
      <c r="D90" s="767">
        <v>364</v>
      </c>
      <c r="E90" s="215">
        <v>2</v>
      </c>
      <c r="F90" s="769">
        <v>175634</v>
      </c>
      <c r="G90" s="752">
        <f>F90*D90</f>
        <v>63930776</v>
      </c>
      <c r="H90" s="395">
        <v>60.6666666666667</v>
      </c>
      <c r="I90" s="272">
        <v>2</v>
      </c>
      <c r="J90" s="385"/>
      <c r="K90" s="215"/>
      <c r="L90" s="215"/>
      <c r="M90" s="215"/>
      <c r="N90" s="274"/>
      <c r="O90" s="396"/>
      <c r="P90" s="386"/>
      <c r="Q90" s="387">
        <f t="shared" si="26"/>
        <v>0</v>
      </c>
      <c r="R90" s="387"/>
      <c r="S90" s="386"/>
      <c r="T90" s="387">
        <f t="shared" si="27"/>
        <v>0</v>
      </c>
      <c r="U90" s="266"/>
      <c r="V90" s="386"/>
      <c r="W90" s="387">
        <f t="shared" si="28"/>
        <v>0</v>
      </c>
      <c r="X90" s="266"/>
      <c r="Y90" s="386"/>
      <c r="Z90" s="387">
        <f t="shared" si="29"/>
        <v>0</v>
      </c>
      <c r="AA90" s="266"/>
      <c r="AB90" s="386"/>
      <c r="AC90" s="387">
        <f t="shared" si="30"/>
        <v>0</v>
      </c>
      <c r="AD90" s="266"/>
      <c r="AE90" s="386"/>
      <c r="AF90" s="387">
        <f t="shared" si="31"/>
        <v>0</v>
      </c>
      <c r="AG90" s="266"/>
      <c r="AH90" s="386"/>
      <c r="AI90" s="387">
        <f t="shared" si="32"/>
        <v>0</v>
      </c>
      <c r="AJ90" s="266"/>
      <c r="AK90" s="386"/>
      <c r="AL90" s="387">
        <f t="shared" si="33"/>
        <v>0</v>
      </c>
      <c r="AM90" s="388">
        <f t="shared" si="24"/>
        <v>0</v>
      </c>
      <c r="AN90" s="386">
        <f t="shared" si="25"/>
        <v>0</v>
      </c>
      <c r="AO90" s="751">
        <f>SUM(AM90:AM92)</f>
        <v>0</v>
      </c>
      <c r="AP90" s="752">
        <f>SUM(AN90:AN92)</f>
        <v>0</v>
      </c>
      <c r="AQ90" s="753">
        <f t="shared" ref="AQ90:AQ91" si="37">AO90-D90</f>
        <v>-364</v>
      </c>
      <c r="AR90" s="755">
        <f t="shared" ref="AR90:AR91" si="38">AP90-G90</f>
        <v>-63930776</v>
      </c>
    </row>
    <row r="91" spans="1:44" ht="30">
      <c r="A91" s="795"/>
      <c r="B91" s="757"/>
      <c r="C91" s="270" t="s">
        <v>237</v>
      </c>
      <c r="D91" s="768"/>
      <c r="E91" s="215">
        <v>2</v>
      </c>
      <c r="F91" s="769"/>
      <c r="G91" s="752"/>
      <c r="H91" s="393">
        <f>D90/6</f>
        <v>60.666666666666664</v>
      </c>
      <c r="I91" s="215">
        <v>2</v>
      </c>
      <c r="J91" s="385"/>
      <c r="K91" s="215"/>
      <c r="L91" s="215"/>
      <c r="M91" s="215"/>
      <c r="N91" s="274"/>
      <c r="O91" s="396"/>
      <c r="P91" s="386"/>
      <c r="Q91" s="387">
        <f t="shared" si="26"/>
        <v>0</v>
      </c>
      <c r="R91" s="387"/>
      <c r="S91" s="386"/>
      <c r="T91" s="387">
        <f t="shared" si="27"/>
        <v>0</v>
      </c>
      <c r="U91" s="266"/>
      <c r="V91" s="386"/>
      <c r="W91" s="387">
        <f t="shared" si="28"/>
        <v>0</v>
      </c>
      <c r="X91" s="266"/>
      <c r="Y91" s="386"/>
      <c r="Z91" s="387">
        <f t="shared" si="29"/>
        <v>0</v>
      </c>
      <c r="AA91" s="266"/>
      <c r="AB91" s="386"/>
      <c r="AC91" s="387">
        <f t="shared" si="30"/>
        <v>0</v>
      </c>
      <c r="AD91" s="266"/>
      <c r="AE91" s="386"/>
      <c r="AF91" s="387">
        <f t="shared" si="31"/>
        <v>0</v>
      </c>
      <c r="AG91" s="266"/>
      <c r="AH91" s="386"/>
      <c r="AI91" s="387">
        <f t="shared" si="32"/>
        <v>0</v>
      </c>
      <c r="AJ91" s="266"/>
      <c r="AK91" s="386"/>
      <c r="AL91" s="387">
        <f t="shared" si="33"/>
        <v>0</v>
      </c>
      <c r="AM91" s="388">
        <f t="shared" si="24"/>
        <v>0</v>
      </c>
      <c r="AN91" s="386">
        <f t="shared" si="25"/>
        <v>0</v>
      </c>
      <c r="AO91" s="751"/>
      <c r="AP91" s="752"/>
      <c r="AQ91" s="754"/>
      <c r="AR91" s="756"/>
    </row>
    <row r="92" spans="1:44">
      <c r="A92" s="795"/>
      <c r="B92" s="757"/>
      <c r="C92" s="270" t="s">
        <v>238</v>
      </c>
      <c r="D92" s="680"/>
      <c r="E92" s="215">
        <v>2</v>
      </c>
      <c r="F92" s="769"/>
      <c r="G92" s="752"/>
      <c r="H92" s="393">
        <f>H91</f>
        <v>60.666666666666664</v>
      </c>
      <c r="I92" s="215">
        <v>2</v>
      </c>
      <c r="J92" s="385"/>
      <c r="K92" s="215"/>
      <c r="L92" s="215"/>
      <c r="M92" s="215"/>
      <c r="N92" s="274"/>
      <c r="O92" s="396"/>
      <c r="P92" s="386"/>
      <c r="Q92" s="387">
        <f t="shared" si="26"/>
        <v>0</v>
      </c>
      <c r="R92" s="387"/>
      <c r="S92" s="386"/>
      <c r="T92" s="387">
        <f t="shared" si="27"/>
        <v>0</v>
      </c>
      <c r="U92" s="266"/>
      <c r="V92" s="386"/>
      <c r="W92" s="387">
        <f t="shared" si="28"/>
        <v>0</v>
      </c>
      <c r="X92" s="266"/>
      <c r="Y92" s="386"/>
      <c r="Z92" s="387">
        <f t="shared" si="29"/>
        <v>0</v>
      </c>
      <c r="AA92" s="266"/>
      <c r="AB92" s="386"/>
      <c r="AC92" s="387">
        <f t="shared" si="30"/>
        <v>0</v>
      </c>
      <c r="AD92" s="266"/>
      <c r="AE92" s="386"/>
      <c r="AF92" s="387">
        <f t="shared" si="31"/>
        <v>0</v>
      </c>
      <c r="AG92" s="266"/>
      <c r="AH92" s="386"/>
      <c r="AI92" s="387">
        <f t="shared" si="32"/>
        <v>0</v>
      </c>
      <c r="AJ92" s="266"/>
      <c r="AK92" s="386"/>
      <c r="AL92" s="387">
        <f t="shared" si="33"/>
        <v>0</v>
      </c>
      <c r="AM92" s="388">
        <f t="shared" si="24"/>
        <v>0</v>
      </c>
      <c r="AN92" s="386">
        <f t="shared" si="25"/>
        <v>0</v>
      </c>
      <c r="AO92" s="751"/>
      <c r="AP92" s="752"/>
      <c r="AQ92" s="765"/>
      <c r="AR92" s="766"/>
    </row>
    <row r="93" spans="1:44">
      <c r="A93" s="795"/>
      <c r="B93" s="757" t="s">
        <v>59</v>
      </c>
      <c r="C93" s="270" t="s">
        <v>239</v>
      </c>
      <c r="D93" s="375">
        <v>272</v>
      </c>
      <c r="E93" s="757">
        <v>6</v>
      </c>
      <c r="F93" s="752">
        <v>186254</v>
      </c>
      <c r="G93" s="752">
        <f>(D93+D94)*F93</f>
        <v>69286488</v>
      </c>
      <c r="H93" s="758">
        <f>(D93+D94)/E93</f>
        <v>62</v>
      </c>
      <c r="I93" s="757">
        <v>6</v>
      </c>
      <c r="J93" s="385" t="s">
        <v>498</v>
      </c>
      <c r="K93" s="215"/>
      <c r="L93" s="215"/>
      <c r="M93" s="215"/>
      <c r="N93" s="274"/>
      <c r="O93" s="396"/>
      <c r="P93" s="386"/>
      <c r="Q93" s="387">
        <f t="shared" si="26"/>
        <v>0</v>
      </c>
      <c r="R93" s="387"/>
      <c r="S93" s="386"/>
      <c r="T93" s="387">
        <f t="shared" si="27"/>
        <v>0</v>
      </c>
      <c r="U93" s="266"/>
      <c r="V93" s="386"/>
      <c r="W93" s="387">
        <f t="shared" si="28"/>
        <v>0</v>
      </c>
      <c r="X93" s="266"/>
      <c r="Y93" s="386"/>
      <c r="Z93" s="387">
        <f t="shared" si="29"/>
        <v>0</v>
      </c>
      <c r="AA93" s="266"/>
      <c r="AB93" s="386"/>
      <c r="AC93" s="387">
        <f t="shared" si="30"/>
        <v>0</v>
      </c>
      <c r="AD93" s="266"/>
      <c r="AE93" s="386"/>
      <c r="AF93" s="387">
        <f t="shared" si="31"/>
        <v>0</v>
      </c>
      <c r="AG93" s="266"/>
      <c r="AH93" s="386"/>
      <c r="AI93" s="387">
        <f t="shared" si="32"/>
        <v>0</v>
      </c>
      <c r="AJ93" s="266"/>
      <c r="AK93" s="386"/>
      <c r="AL93" s="387">
        <f t="shared" si="33"/>
        <v>0</v>
      </c>
      <c r="AM93" s="388">
        <f t="shared" si="24"/>
        <v>0</v>
      </c>
      <c r="AN93" s="386">
        <f t="shared" si="25"/>
        <v>0</v>
      </c>
      <c r="AO93" s="751">
        <f>SUM(AM93:AM94)</f>
        <v>0</v>
      </c>
      <c r="AP93" s="752">
        <f>SUM(AN93:AN94)</f>
        <v>0</v>
      </c>
      <c r="AQ93" s="753">
        <f t="shared" ref="AQ93:AQ95" si="39">AO93-D93</f>
        <v>-272</v>
      </c>
      <c r="AR93" s="755">
        <f t="shared" ref="AR93:AR95" si="40">AP93-G93</f>
        <v>-69286488</v>
      </c>
    </row>
    <row r="94" spans="1:44">
      <c r="A94" s="795"/>
      <c r="B94" s="757"/>
      <c r="C94" s="270" t="s">
        <v>244</v>
      </c>
      <c r="D94" s="268">
        <v>100</v>
      </c>
      <c r="E94" s="757"/>
      <c r="F94" s="752"/>
      <c r="G94" s="752"/>
      <c r="H94" s="759"/>
      <c r="I94" s="757"/>
      <c r="J94" s="385" t="s">
        <v>499</v>
      </c>
      <c r="K94" s="215"/>
      <c r="L94" s="215"/>
      <c r="M94" s="215"/>
      <c r="N94" s="274"/>
      <c r="O94" s="396"/>
      <c r="P94" s="386"/>
      <c r="Q94" s="387">
        <f t="shared" si="26"/>
        <v>0</v>
      </c>
      <c r="R94" s="387"/>
      <c r="S94" s="386"/>
      <c r="T94" s="387">
        <f t="shared" si="27"/>
        <v>0</v>
      </c>
      <c r="U94" s="266"/>
      <c r="V94" s="386"/>
      <c r="W94" s="387">
        <f t="shared" si="28"/>
        <v>0</v>
      </c>
      <c r="X94" s="266"/>
      <c r="Y94" s="386"/>
      <c r="Z94" s="387">
        <f t="shared" si="29"/>
        <v>0</v>
      </c>
      <c r="AA94" s="266"/>
      <c r="AB94" s="386"/>
      <c r="AC94" s="387">
        <f t="shared" si="30"/>
        <v>0</v>
      </c>
      <c r="AD94" s="266"/>
      <c r="AE94" s="386"/>
      <c r="AF94" s="387">
        <f t="shared" si="31"/>
        <v>0</v>
      </c>
      <c r="AG94" s="266"/>
      <c r="AH94" s="386"/>
      <c r="AI94" s="387">
        <f t="shared" si="32"/>
        <v>0</v>
      </c>
      <c r="AJ94" s="266"/>
      <c r="AK94" s="386"/>
      <c r="AL94" s="387">
        <f t="shared" si="33"/>
        <v>0</v>
      </c>
      <c r="AM94" s="388">
        <f t="shared" si="24"/>
        <v>0</v>
      </c>
      <c r="AN94" s="386">
        <f t="shared" si="25"/>
        <v>0</v>
      </c>
      <c r="AO94" s="751"/>
      <c r="AP94" s="752"/>
      <c r="AQ94" s="754">
        <f t="shared" si="39"/>
        <v>-100</v>
      </c>
      <c r="AR94" s="756">
        <f t="shared" si="40"/>
        <v>0</v>
      </c>
    </row>
    <row r="95" spans="1:44" ht="39.75">
      <c r="A95" s="795"/>
      <c r="B95" s="757" t="s">
        <v>245</v>
      </c>
      <c r="C95" s="270" t="s">
        <v>60</v>
      </c>
      <c r="D95" s="679">
        <v>896</v>
      </c>
      <c r="E95" s="757">
        <v>13</v>
      </c>
      <c r="F95" s="752">
        <v>186254</v>
      </c>
      <c r="G95" s="752">
        <f>(D95+D96)*F95</f>
        <v>166883584</v>
      </c>
      <c r="H95" s="758">
        <v>69</v>
      </c>
      <c r="I95" s="757">
        <v>13</v>
      </c>
      <c r="J95" s="273" t="s">
        <v>500</v>
      </c>
      <c r="K95" s="215"/>
      <c r="L95" s="215"/>
      <c r="M95" s="215"/>
      <c r="N95" s="274"/>
      <c r="O95" s="396"/>
      <c r="P95" s="386"/>
      <c r="Q95" s="387">
        <f t="shared" si="26"/>
        <v>0</v>
      </c>
      <c r="R95" s="387"/>
      <c r="S95" s="386"/>
      <c r="T95" s="387">
        <f t="shared" si="27"/>
        <v>0</v>
      </c>
      <c r="U95" s="266"/>
      <c r="V95" s="386"/>
      <c r="W95" s="387">
        <f t="shared" si="28"/>
        <v>0</v>
      </c>
      <c r="X95" s="266"/>
      <c r="Y95" s="386"/>
      <c r="Z95" s="387">
        <f t="shared" si="29"/>
        <v>0</v>
      </c>
      <c r="AA95" s="266"/>
      <c r="AB95" s="386"/>
      <c r="AC95" s="387">
        <f t="shared" si="30"/>
        <v>0</v>
      </c>
      <c r="AD95" s="266"/>
      <c r="AE95" s="386"/>
      <c r="AF95" s="387">
        <f t="shared" si="31"/>
        <v>0</v>
      </c>
      <c r="AG95" s="266"/>
      <c r="AH95" s="386"/>
      <c r="AI95" s="387">
        <f t="shared" si="32"/>
        <v>0</v>
      </c>
      <c r="AJ95" s="266"/>
      <c r="AK95" s="386"/>
      <c r="AL95" s="387">
        <f t="shared" si="33"/>
        <v>0</v>
      </c>
      <c r="AM95" s="388">
        <f t="shared" si="24"/>
        <v>0</v>
      </c>
      <c r="AN95" s="386">
        <f t="shared" si="25"/>
        <v>0</v>
      </c>
      <c r="AO95" s="751">
        <f>SUM(AM95:AM96)</f>
        <v>0</v>
      </c>
      <c r="AP95" s="760">
        <f>SUM(AN95:AN96)</f>
        <v>0</v>
      </c>
      <c r="AQ95" s="751">
        <f>AO95-D95</f>
        <v>-896</v>
      </c>
      <c r="AR95" s="752">
        <f>AP95-G95</f>
        <v>-166883584</v>
      </c>
    </row>
    <row r="96" spans="1:44" ht="30">
      <c r="A96" s="795"/>
      <c r="B96" s="757"/>
      <c r="C96" s="270" t="s">
        <v>61</v>
      </c>
      <c r="D96" s="680"/>
      <c r="E96" s="757"/>
      <c r="F96" s="752"/>
      <c r="G96" s="752"/>
      <c r="H96" s="759"/>
      <c r="I96" s="757"/>
      <c r="J96" s="273" t="s">
        <v>501</v>
      </c>
      <c r="K96" s="215"/>
      <c r="L96" s="215"/>
      <c r="M96" s="215"/>
      <c r="N96" s="274"/>
      <c r="O96" s="396"/>
      <c r="P96" s="386"/>
      <c r="Q96" s="387">
        <f t="shared" si="26"/>
        <v>0</v>
      </c>
      <c r="R96" s="387"/>
      <c r="S96" s="386"/>
      <c r="T96" s="387">
        <f t="shared" si="27"/>
        <v>0</v>
      </c>
      <c r="U96" s="266"/>
      <c r="V96" s="386"/>
      <c r="W96" s="387">
        <f t="shared" si="28"/>
        <v>0</v>
      </c>
      <c r="X96" s="266"/>
      <c r="Y96" s="386"/>
      <c r="Z96" s="387">
        <f t="shared" si="29"/>
        <v>0</v>
      </c>
      <c r="AA96" s="266"/>
      <c r="AB96" s="386"/>
      <c r="AC96" s="387">
        <f t="shared" si="30"/>
        <v>0</v>
      </c>
      <c r="AD96" s="266"/>
      <c r="AE96" s="386"/>
      <c r="AF96" s="387">
        <f t="shared" si="31"/>
        <v>0</v>
      </c>
      <c r="AG96" s="266"/>
      <c r="AH96" s="386"/>
      <c r="AI96" s="387">
        <f t="shared" si="32"/>
        <v>0</v>
      </c>
      <c r="AJ96" s="266"/>
      <c r="AK96" s="386"/>
      <c r="AL96" s="387">
        <f t="shared" si="33"/>
        <v>0</v>
      </c>
      <c r="AM96" s="388">
        <f t="shared" si="24"/>
        <v>0</v>
      </c>
      <c r="AN96" s="386">
        <f t="shared" si="25"/>
        <v>0</v>
      </c>
      <c r="AO96" s="751"/>
      <c r="AP96" s="760"/>
      <c r="AQ96" s="751"/>
      <c r="AR96" s="752"/>
    </row>
    <row r="97" spans="1:44" ht="30">
      <c r="A97" s="796"/>
      <c r="B97" s="757"/>
      <c r="C97" s="270" t="s">
        <v>62</v>
      </c>
      <c r="D97" s="268" t="s">
        <v>248</v>
      </c>
      <c r="E97" s="215" t="s">
        <v>248</v>
      </c>
      <c r="F97" s="391" t="s">
        <v>248</v>
      </c>
      <c r="G97" s="391">
        <v>196000000</v>
      </c>
      <c r="H97" s="393"/>
      <c r="I97" s="215" t="s">
        <v>248</v>
      </c>
      <c r="J97" s="273" t="s">
        <v>502</v>
      </c>
      <c r="K97" s="215"/>
      <c r="L97" s="215"/>
      <c r="M97" s="215"/>
      <c r="N97" s="274"/>
      <c r="O97" s="396"/>
      <c r="P97" s="386"/>
      <c r="Q97" s="387">
        <f t="shared" si="26"/>
        <v>0</v>
      </c>
      <c r="R97" s="387"/>
      <c r="S97" s="386"/>
      <c r="T97" s="387">
        <f t="shared" si="27"/>
        <v>0</v>
      </c>
      <c r="U97" s="266"/>
      <c r="V97" s="386"/>
      <c r="W97" s="387">
        <f t="shared" si="28"/>
        <v>0</v>
      </c>
      <c r="X97" s="266"/>
      <c r="Y97" s="386"/>
      <c r="Z97" s="387">
        <f t="shared" si="29"/>
        <v>0</v>
      </c>
      <c r="AA97" s="266"/>
      <c r="AB97" s="386"/>
      <c r="AC97" s="387">
        <f t="shared" si="30"/>
        <v>0</v>
      </c>
      <c r="AD97" s="266"/>
      <c r="AE97" s="386"/>
      <c r="AF97" s="387">
        <f t="shared" si="31"/>
        <v>0</v>
      </c>
      <c r="AG97" s="266"/>
      <c r="AH97" s="386"/>
      <c r="AI97" s="387">
        <f t="shared" si="32"/>
        <v>0</v>
      </c>
      <c r="AJ97" s="266"/>
      <c r="AK97" s="386"/>
      <c r="AL97" s="387">
        <f t="shared" si="33"/>
        <v>0</v>
      </c>
      <c r="AM97" s="388">
        <f t="shared" si="24"/>
        <v>0</v>
      </c>
      <c r="AN97" s="386">
        <f t="shared" si="25"/>
        <v>0</v>
      </c>
      <c r="AO97" s="392">
        <f>AM97</f>
        <v>0</v>
      </c>
      <c r="AP97" s="413">
        <f>AN97</f>
        <v>0</v>
      </c>
      <c r="AQ97" s="414"/>
      <c r="AR97" s="415">
        <f>AP97-G97</f>
        <v>-196000000</v>
      </c>
    </row>
    <row r="98" spans="1:44" ht="39.75">
      <c r="A98" s="276" t="s">
        <v>249</v>
      </c>
      <c r="B98" s="215" t="s">
        <v>250</v>
      </c>
      <c r="C98" s="270" t="s">
        <v>251</v>
      </c>
      <c r="D98" s="394">
        <v>60</v>
      </c>
      <c r="E98" s="215">
        <v>4</v>
      </c>
      <c r="F98" s="390">
        <v>205000</v>
      </c>
      <c r="G98" s="391">
        <f>F98*D98</f>
        <v>12300000</v>
      </c>
      <c r="H98" s="393">
        <f>D98/E98</f>
        <v>15</v>
      </c>
      <c r="I98" s="215">
        <v>4</v>
      </c>
      <c r="J98" s="273"/>
      <c r="K98" s="215"/>
      <c r="L98" s="215"/>
      <c r="M98" s="215"/>
      <c r="N98" s="274"/>
      <c r="O98" s="396"/>
      <c r="P98" s="386"/>
      <c r="Q98" s="387">
        <f t="shared" si="26"/>
        <v>0</v>
      </c>
      <c r="R98" s="387"/>
      <c r="S98" s="386"/>
      <c r="T98" s="387">
        <f t="shared" si="27"/>
        <v>0</v>
      </c>
      <c r="U98" s="266"/>
      <c r="V98" s="386"/>
      <c r="W98" s="387">
        <f t="shared" si="28"/>
        <v>0</v>
      </c>
      <c r="X98" s="266"/>
      <c r="Y98" s="386"/>
      <c r="Z98" s="387">
        <f t="shared" si="29"/>
        <v>0</v>
      </c>
      <c r="AA98" s="266"/>
      <c r="AB98" s="386"/>
      <c r="AC98" s="387">
        <f t="shared" si="30"/>
        <v>0</v>
      </c>
      <c r="AD98" s="266"/>
      <c r="AE98" s="386"/>
      <c r="AF98" s="387">
        <f t="shared" si="31"/>
        <v>0</v>
      </c>
      <c r="AG98" s="266"/>
      <c r="AH98" s="386"/>
      <c r="AI98" s="387">
        <f t="shared" si="32"/>
        <v>0</v>
      </c>
      <c r="AJ98" s="266"/>
      <c r="AK98" s="386"/>
      <c r="AL98" s="387">
        <f t="shared" si="33"/>
        <v>0</v>
      </c>
      <c r="AM98" s="388">
        <f t="shared" si="24"/>
        <v>0</v>
      </c>
      <c r="AN98" s="386">
        <f t="shared" si="25"/>
        <v>0</v>
      </c>
      <c r="AO98" s="392">
        <f>AM98</f>
        <v>0</v>
      </c>
      <c r="AP98" s="413">
        <f>AN98</f>
        <v>0</v>
      </c>
      <c r="AQ98" s="392">
        <f>AO98-D98</f>
        <v>-60</v>
      </c>
      <c r="AR98" s="391">
        <f>AP98-G98</f>
        <v>-12300000</v>
      </c>
    </row>
    <row r="99" spans="1:44">
      <c r="A99" s="416"/>
      <c r="B99" s="417"/>
      <c r="C99" s="417"/>
      <c r="D99" s="418">
        <f>D6+D24+D29+D39+D40+D41+D43+D46+D51+D57+D60+D65+D73+D80+D81+D83+D84+D90+D91+D92+D93+D95+D98+D94</f>
        <v>13995</v>
      </c>
      <c r="E99" s="418">
        <f>E6+E24+E29+E39+E40+E41+E43+E46+E51+E57+E60+E65+E73+E80+E81+E83+E84+E90+E91+E92+E93+E95+E98</f>
        <v>154</v>
      </c>
      <c r="F99" s="419"/>
      <c r="G99" s="420">
        <f>SUM(G6:G98)</f>
        <v>2691023510</v>
      </c>
      <c r="H99" s="421"/>
      <c r="I99" s="422"/>
      <c r="J99" s="423"/>
      <c r="K99" s="422"/>
      <c r="L99" s="424"/>
      <c r="M99" s="424"/>
      <c r="N99" s="425"/>
      <c r="O99" s="416"/>
      <c r="P99" s="416"/>
      <c r="Q99" s="426">
        <f>SUM(Q6:Q98)</f>
        <v>0</v>
      </c>
      <c r="R99" s="416"/>
      <c r="S99" s="416"/>
      <c r="T99" s="426">
        <f>SUM(T6:T98)</f>
        <v>0</v>
      </c>
      <c r="U99" s="416"/>
      <c r="V99" s="416"/>
      <c r="W99" s="426">
        <f>SUM(W6:W98)</f>
        <v>0</v>
      </c>
      <c r="X99" s="416"/>
      <c r="Y99" s="416"/>
      <c r="Z99" s="426">
        <f>SUM(Z6:Z98)</f>
        <v>0</v>
      </c>
      <c r="AA99" s="416"/>
      <c r="AB99" s="416"/>
      <c r="AC99" s="426">
        <f>SUM(AC6:AC98)</f>
        <v>0</v>
      </c>
      <c r="AD99" s="416"/>
      <c r="AE99" s="416"/>
      <c r="AF99" s="426">
        <f>SUM(AF6:AF98)</f>
        <v>0</v>
      </c>
      <c r="AG99" s="416"/>
      <c r="AH99" s="416"/>
      <c r="AI99" s="426">
        <f>SUM(AI6:AI98)</f>
        <v>0</v>
      </c>
      <c r="AJ99" s="416"/>
      <c r="AK99" s="416"/>
      <c r="AL99" s="426">
        <f>SUM(AL6:AL98)</f>
        <v>0</v>
      </c>
      <c r="AM99" s="427">
        <f>SUM(AM6:AM98)</f>
        <v>0</v>
      </c>
      <c r="AN99" s="426">
        <f t="shared" ref="AN99:AO99" si="41">SUM(AN6:AN98)</f>
        <v>0</v>
      </c>
      <c r="AO99" s="420">
        <f>SUM(AO6:AO98)</f>
        <v>0</v>
      </c>
      <c r="AP99" s="420">
        <f>SUM(AP6:AP98)</f>
        <v>0</v>
      </c>
      <c r="AQ99" s="420">
        <f>SUM(AQ6:AQ98)</f>
        <v>-13995</v>
      </c>
      <c r="AR99" s="420">
        <f>SUM(AR6:AR98)</f>
        <v>-2691023510</v>
      </c>
    </row>
    <row r="100" spans="1:44">
      <c r="N100" s="275"/>
    </row>
    <row r="101" spans="1:44">
      <c r="N101" s="275"/>
    </row>
    <row r="102" spans="1:44">
      <c r="N102" s="275"/>
    </row>
    <row r="103" spans="1:44">
      <c r="N103" s="275"/>
    </row>
    <row r="104" spans="1:44">
      <c r="N104" s="275"/>
    </row>
    <row r="105" spans="1:44">
      <c r="N105" s="275"/>
    </row>
    <row r="106" spans="1:44">
      <c r="N106" s="275"/>
    </row>
    <row r="107" spans="1:44">
      <c r="N107" s="275"/>
    </row>
    <row r="108" spans="1:44">
      <c r="N108" s="275"/>
    </row>
    <row r="109" spans="1:44">
      <c r="N109" s="275"/>
    </row>
    <row r="110" spans="1:44">
      <c r="N110" s="275"/>
    </row>
    <row r="111" spans="1:44">
      <c r="N111" s="275"/>
    </row>
    <row r="112" spans="1:44">
      <c r="N112" s="275"/>
    </row>
    <row r="113" spans="14:14">
      <c r="N113" s="275"/>
    </row>
    <row r="114" spans="14:14">
      <c r="N114" s="275"/>
    </row>
    <row r="115" spans="14:14">
      <c r="N115" s="275"/>
    </row>
    <row r="116" spans="14:14">
      <c r="N116" s="275"/>
    </row>
    <row r="117" spans="14:14">
      <c r="N117" s="275"/>
    </row>
    <row r="118" spans="14:14">
      <c r="N118" s="275"/>
    </row>
  </sheetData>
  <mergeCells count="215">
    <mergeCell ref="A4:A5"/>
    <mergeCell ref="B4:B5"/>
    <mergeCell ref="C4:C5"/>
    <mergeCell ref="D4:D5"/>
    <mergeCell ref="E4:E5"/>
    <mergeCell ref="H57:H59"/>
    <mergeCell ref="H65:H72"/>
    <mergeCell ref="H81:H82"/>
    <mergeCell ref="I81:I82"/>
    <mergeCell ref="D6:D23"/>
    <mergeCell ref="E6:E23"/>
    <mergeCell ref="AG4:AI4"/>
    <mergeCell ref="AJ4:AL4"/>
    <mergeCell ref="AM4:AN4"/>
    <mergeCell ref="AO4:AP4"/>
    <mergeCell ref="AQ4:AR4"/>
    <mergeCell ref="R4:T4"/>
    <mergeCell ref="U4:W4"/>
    <mergeCell ref="X4:Z4"/>
    <mergeCell ref="AA4:AC4"/>
    <mergeCell ref="AD4:AF4"/>
    <mergeCell ref="K4:K5"/>
    <mergeCell ref="L4:L5"/>
    <mergeCell ref="M4:M5"/>
    <mergeCell ref="N4:N5"/>
    <mergeCell ref="O4:Q4"/>
    <mergeCell ref="F4:F5"/>
    <mergeCell ref="G4:G5"/>
    <mergeCell ref="H4:H5"/>
    <mergeCell ref="I4:I5"/>
    <mergeCell ref="J4:J5"/>
    <mergeCell ref="AQ6:AQ23"/>
    <mergeCell ref="AR6:AR23"/>
    <mergeCell ref="A24:A38"/>
    <mergeCell ref="B24:B28"/>
    <mergeCell ref="C24:C28"/>
    <mergeCell ref="D24:D28"/>
    <mergeCell ref="E24:E28"/>
    <mergeCell ref="F24:F28"/>
    <mergeCell ref="G24:G28"/>
    <mergeCell ref="H24:H28"/>
    <mergeCell ref="AO24:AO28"/>
    <mergeCell ref="AP24:AP28"/>
    <mergeCell ref="AQ24:AQ28"/>
    <mergeCell ref="AR24:AR28"/>
    <mergeCell ref="B29:B38"/>
    <mergeCell ref="C29:C38"/>
    <mergeCell ref="F6:F23"/>
    <mergeCell ref="G6:G23"/>
    <mergeCell ref="H6:H23"/>
    <mergeCell ref="AO6:AO23"/>
    <mergeCell ref="AP6:AP23"/>
    <mergeCell ref="A6:A23"/>
    <mergeCell ref="B6:B23"/>
    <mergeCell ref="C6:C23"/>
    <mergeCell ref="AO29:AO38"/>
    <mergeCell ref="AP29:AP38"/>
    <mergeCell ref="AQ29:AQ38"/>
    <mergeCell ref="AR29:AR38"/>
    <mergeCell ref="A39:A97"/>
    <mergeCell ref="B41:B42"/>
    <mergeCell ref="C41:C42"/>
    <mergeCell ref="D41:D42"/>
    <mergeCell ref="E41:E42"/>
    <mergeCell ref="F41:F42"/>
    <mergeCell ref="G41:G42"/>
    <mergeCell ref="H41:H42"/>
    <mergeCell ref="I41:I42"/>
    <mergeCell ref="J41:J42"/>
    <mergeCell ref="K41:K42"/>
    <mergeCell ref="L41:L42"/>
    <mergeCell ref="D29:D38"/>
    <mergeCell ref="E29:E38"/>
    <mergeCell ref="F29:F38"/>
    <mergeCell ref="G29:G38"/>
    <mergeCell ref="H29:H38"/>
    <mergeCell ref="I93:I94"/>
    <mergeCell ref="R41:R42"/>
    <mergeCell ref="S41:S42"/>
    <mergeCell ref="T41:T42"/>
    <mergeCell ref="U41:U42"/>
    <mergeCell ref="V41:V42"/>
    <mergeCell ref="M41:M42"/>
    <mergeCell ref="N41:N42"/>
    <mergeCell ref="O41:O42"/>
    <mergeCell ref="P41:P42"/>
    <mergeCell ref="Q41:Q42"/>
    <mergeCell ref="AJ41:AJ42"/>
    <mergeCell ref="AK41:AK42"/>
    <mergeCell ref="AB41:AB42"/>
    <mergeCell ref="AC41:AC42"/>
    <mergeCell ref="AD41:AD42"/>
    <mergeCell ref="AE41:AE42"/>
    <mergeCell ref="AF41:AF42"/>
    <mergeCell ref="W41:W42"/>
    <mergeCell ref="X41:X42"/>
    <mergeCell ref="Y41:Y42"/>
    <mergeCell ref="Z41:Z42"/>
    <mergeCell ref="AA41:AA42"/>
    <mergeCell ref="AQ41:AQ42"/>
    <mergeCell ref="AR41:AR42"/>
    <mergeCell ref="B43:B79"/>
    <mergeCell ref="C43:C45"/>
    <mergeCell ref="D43:D45"/>
    <mergeCell ref="E43:E45"/>
    <mergeCell ref="F43:F45"/>
    <mergeCell ref="G43:G45"/>
    <mergeCell ref="H43:H45"/>
    <mergeCell ref="AO43:AO45"/>
    <mergeCell ref="AP43:AP45"/>
    <mergeCell ref="AQ43:AQ45"/>
    <mergeCell ref="AR43:AR45"/>
    <mergeCell ref="C46:C50"/>
    <mergeCell ref="D46:D50"/>
    <mergeCell ref="E46:E50"/>
    <mergeCell ref="AL41:AL42"/>
    <mergeCell ref="AM41:AM42"/>
    <mergeCell ref="AN41:AN42"/>
    <mergeCell ref="AO41:AO42"/>
    <mergeCell ref="AP41:AP42"/>
    <mergeCell ref="AG41:AG42"/>
    <mergeCell ref="AH41:AH42"/>
    <mergeCell ref="AI41:AI42"/>
    <mergeCell ref="AQ46:AQ50"/>
    <mergeCell ref="AR46:AR50"/>
    <mergeCell ref="C51:C56"/>
    <mergeCell ref="D51:D56"/>
    <mergeCell ref="E51:E56"/>
    <mergeCell ref="F51:F56"/>
    <mergeCell ref="G51:G56"/>
    <mergeCell ref="H51:H56"/>
    <mergeCell ref="AO51:AO56"/>
    <mergeCell ref="AP51:AP56"/>
    <mergeCell ref="AQ51:AQ56"/>
    <mergeCell ref="AR51:AR56"/>
    <mergeCell ref="F46:F50"/>
    <mergeCell ref="G46:G50"/>
    <mergeCell ref="H46:H50"/>
    <mergeCell ref="AO46:AO50"/>
    <mergeCell ref="AP46:AP50"/>
    <mergeCell ref="AO57:AO59"/>
    <mergeCell ref="AP57:AP59"/>
    <mergeCell ref="AQ57:AQ59"/>
    <mergeCell ref="AR57:AR59"/>
    <mergeCell ref="C60:C64"/>
    <mergeCell ref="D60:D64"/>
    <mergeCell ref="E60:E64"/>
    <mergeCell ref="F60:F64"/>
    <mergeCell ref="G60:G64"/>
    <mergeCell ref="H60:H64"/>
    <mergeCell ref="AO60:AO64"/>
    <mergeCell ref="AP60:AP64"/>
    <mergeCell ref="AQ60:AQ64"/>
    <mergeCell ref="AR60:AR64"/>
    <mergeCell ref="C57:C59"/>
    <mergeCell ref="D57:D59"/>
    <mergeCell ref="E57:E59"/>
    <mergeCell ref="F57:F59"/>
    <mergeCell ref="G57:G59"/>
    <mergeCell ref="AO65:AO72"/>
    <mergeCell ref="AP65:AP72"/>
    <mergeCell ref="AQ65:AQ72"/>
    <mergeCell ref="AR65:AR72"/>
    <mergeCell ref="C73:C79"/>
    <mergeCell ref="D73:D79"/>
    <mergeCell ref="E73:E79"/>
    <mergeCell ref="F73:F79"/>
    <mergeCell ref="G73:G79"/>
    <mergeCell ref="H73:H79"/>
    <mergeCell ref="AO73:AO79"/>
    <mergeCell ref="AP73:AP79"/>
    <mergeCell ref="AQ73:AQ79"/>
    <mergeCell ref="AR73:AR79"/>
    <mergeCell ref="C65:C72"/>
    <mergeCell ref="D65:D72"/>
    <mergeCell ref="E65:E72"/>
    <mergeCell ref="F65:F72"/>
    <mergeCell ref="G65:G72"/>
    <mergeCell ref="AO81:AO82"/>
    <mergeCell ref="AP81:AP82"/>
    <mergeCell ref="AQ81:AQ82"/>
    <mergeCell ref="AR81:AR82"/>
    <mergeCell ref="B90:B92"/>
    <mergeCell ref="D90:D92"/>
    <mergeCell ref="F90:F92"/>
    <mergeCell ref="G90:G92"/>
    <mergeCell ref="AO90:AO92"/>
    <mergeCell ref="AP90:AP92"/>
    <mergeCell ref="AQ90:AQ92"/>
    <mergeCell ref="AR90:AR92"/>
    <mergeCell ref="B80:B89"/>
    <mergeCell ref="D81:D82"/>
    <mergeCell ref="E81:E82"/>
    <mergeCell ref="F81:F82"/>
    <mergeCell ref="G81:G82"/>
    <mergeCell ref="AO93:AO94"/>
    <mergeCell ref="AP93:AP94"/>
    <mergeCell ref="AQ93:AQ94"/>
    <mergeCell ref="AR93:AR94"/>
    <mergeCell ref="B95:B97"/>
    <mergeCell ref="D95:D96"/>
    <mergeCell ref="E95:E96"/>
    <mergeCell ref="F95:F96"/>
    <mergeCell ref="G95:G96"/>
    <mergeCell ref="H95:H96"/>
    <mergeCell ref="I95:I96"/>
    <mergeCell ref="AO95:AO96"/>
    <mergeCell ref="AP95:AP96"/>
    <mergeCell ref="AQ95:AQ96"/>
    <mergeCell ref="AR95:AR96"/>
    <mergeCell ref="B93:B94"/>
    <mergeCell ref="E93:E94"/>
    <mergeCell ref="F93:F94"/>
    <mergeCell ref="G93:G94"/>
    <mergeCell ref="H93:H94"/>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o" ma:contentTypeID="0x010100097F82F9F527534895D2208CB11FFD4B" ma:contentTypeVersion="3" ma:contentTypeDescription="Crear nuevo documento." ma:contentTypeScope="" ma:versionID="caca2b50ae8a4a247491b031305ee561">
  <xsd:schema xmlns:xsd="http://www.w3.org/2001/XMLSchema" xmlns:xs="http://www.w3.org/2001/XMLSchema" xmlns:p="http://schemas.microsoft.com/office/2006/metadata/properties" xmlns:ns2="06b2bb3a-0c2f-411b-b822-cd3dc1829a25" targetNamespace="http://schemas.microsoft.com/office/2006/metadata/properties" ma:root="true" ma:fieldsID="e60def3f610643fa2a4cea74c28d26a6" ns2:_="">
    <xsd:import namespace="06b2bb3a-0c2f-411b-b822-cd3dc1829a25"/>
    <xsd:element name="properties">
      <xsd:complexType>
        <xsd:sequence>
          <xsd:element name="documentManagement">
            <xsd:complexType>
              <xsd:all>
                <xsd:element ref="ns2:MediaServiceMetadata" minOccurs="0"/>
                <xsd:element ref="ns2:MediaServiceFastMetadata"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6b2bb3a-0c2f-411b-b822-cd3dc1829a2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6D73BC2-4B46-4CD4-9A06-EB93556FB18F}"/>
</file>

<file path=customXml/itemProps2.xml><?xml version="1.0" encoding="utf-8"?>
<ds:datastoreItem xmlns:ds="http://schemas.openxmlformats.org/officeDocument/2006/customXml" ds:itemID="{DC59624B-7F11-4B3A-A660-842A3A4EF64A}"/>
</file>

<file path=customXml/itemProps3.xml><?xml version="1.0" encoding="utf-8"?>
<ds:datastoreItem xmlns:ds="http://schemas.openxmlformats.org/officeDocument/2006/customXml" ds:itemID="{085F56E9-BC74-421E-9879-7FE909533EF1}"/>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Tobias Repizo Rojas</dc:creator>
  <cp:keywords/>
  <dc:description/>
  <cp:lastModifiedBy/>
  <cp:revision/>
  <dcterms:created xsi:type="dcterms:W3CDTF">2024-12-12T16:51:39Z</dcterms:created>
  <dcterms:modified xsi:type="dcterms:W3CDTF">2025-05-06T14:07:27Z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0x010100097F82F9F527534895D2208CB11FFD4B</vt:lpwstr>
  </property>
  <property fmtid="{D5CDD505-2E9C-101B-9397-08002B2CF9AE}" pid="3" name="MediaServiceImageTags">
    <vt:lpwstr/>
  </property>
</Properties>
</file>