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hibido el Paso\Escuela Platzi - Data Analyst\Curso de Excel Básico\Ecommerce_Public_Dataset_by_Alibaba\"/>
    </mc:Choice>
  </mc:AlternateContent>
  <xr:revisionPtr revIDLastSave="0" documentId="13_ncr:1_{837061B9-455B-4615-AD62-F9AC2FB075A1}" xr6:coauthVersionLast="47" xr6:coauthVersionMax="47" xr10:uidLastSave="{00000000-0000-0000-0000-000000000000}"/>
  <bookViews>
    <workbookView xWindow="-120" yWindow="-120" windowWidth="29040" windowHeight="15840" tabRatio="688" xr2:uid="{00000000-000D-0000-FFFF-FFFF00000000}"/>
  </bookViews>
  <sheets>
    <sheet name="Home" sheetId="7" r:id="rId1"/>
    <sheet name="BBDD" sheetId="1" r:id="rId2"/>
    <sheet name="Estados" sheetId="4" state="hidden" r:id="rId3"/>
    <sheet name="TB" sheetId="3" r:id="rId4"/>
    <sheet name="Graficas" sheetId="5" r:id="rId5"/>
  </sheets>
  <definedNames>
    <definedName name="_xlnm._FilterDatabase" localSheetId="1" hidden="1">BBDD!$I$63:$K$64</definedName>
    <definedName name="_xlnm.Print_Area" localSheetId="1">Tabla1[[#All],[Orden Extraer]:[tracking]]</definedName>
    <definedName name="Cantidad">Tabla1[quantity]</definedName>
    <definedName name="Entregado">Estados!$H$6:$H$7</definedName>
    <definedName name="Opciones...">#REF!</definedName>
    <definedName name="Proceso">Estados!$H$2:$H$3</definedName>
    <definedName name="Proveedores">Tabla1[nombre_proveedor]</definedName>
    <definedName name="Tránsito">Estados!$H$4:$H$5</definedName>
    <definedName name="Ventas">Tabla1[Venta]</definedName>
  </definedNames>
  <calcPr calcId="191029"/>
  <pivotCaches>
    <pivotCache cacheId="2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H49" i="1" a="1"/>
  <c r="H49" i="1" s="1"/>
  <c r="I49" i="1" s="1"/>
  <c r="H48" i="1" a="1"/>
  <c r="H48" i="1" s="1"/>
  <c r="I48" i="1" s="1"/>
  <c r="H47" i="1" a="1"/>
  <c r="H47" i="1" s="1"/>
  <c r="I47" i="1" s="1"/>
  <c r="H46" i="1" a="1"/>
  <c r="H46" i="1" s="1"/>
  <c r="I46" i="1" s="1"/>
  <c r="H45" i="1" a="1"/>
  <c r="H45" i="1" s="1"/>
  <c r="I45" i="1" s="1"/>
  <c r="H44" i="1" a="1"/>
  <c r="H44" i="1" s="1"/>
  <c r="I44" i="1" s="1"/>
  <c r="H43" i="1" a="1"/>
  <c r="H43" i="1" s="1"/>
  <c r="M66" i="1" a="1"/>
  <c r="M66" i="1" s="1"/>
  <c r="N65" i="1" a="1"/>
  <c r="N65" i="1" s="1"/>
  <c r="M65" i="1" a="1"/>
  <c r="M65" i="1" s="1"/>
  <c r="N64" i="1" a="1"/>
  <c r="N64" i="1" s="1"/>
  <c r="M64" i="1" a="1"/>
  <c r="M64" i="1" s="1"/>
  <c r="J66" i="1"/>
  <c r="J65" i="1"/>
  <c r="J64" i="1"/>
  <c r="H53" i="1"/>
  <c r="H57" i="1"/>
  <c r="G64" i="1"/>
  <c r="G65" i="1"/>
  <c r="G66" i="1"/>
  <c r="K46" i="1" l="1"/>
  <c r="I43" i="1"/>
  <c r="I50" i="1" s="1"/>
  <c r="H50" i="1"/>
  <c r="H56" i="1"/>
  <c r="G59" i="1"/>
  <c r="G55" i="1"/>
  <c r="H58" i="1"/>
  <c r="G58" i="1"/>
  <c r="K65" i="1"/>
  <c r="H55" i="1"/>
  <c r="H59" i="1"/>
  <c r="G56" i="1"/>
  <c r="G53" i="1"/>
  <c r="G57" i="1"/>
  <c r="K64" i="1"/>
  <c r="G54" i="1"/>
  <c r="H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<sst xmlns="http://schemas.openxmlformats.org/spreadsheetml/2006/main" count="442" uniqueCount="133">
  <si>
    <t>order_id</t>
  </si>
  <si>
    <t>product_id</t>
  </si>
  <si>
    <t>product_name</t>
  </si>
  <si>
    <t>vendor_id</t>
  </si>
  <si>
    <t>nombre_proveedor</t>
  </si>
  <si>
    <t>option_id</t>
  </si>
  <si>
    <t>quantity</t>
  </si>
  <si>
    <t>order_date</t>
  </si>
  <si>
    <t>delivery_date</t>
  </si>
  <si>
    <t xml:space="preserve">ship_address </t>
  </si>
  <si>
    <t>tracking_number</t>
  </si>
  <si>
    <t>delivery_status</t>
  </si>
  <si>
    <t>Macbook Pro (2017)</t>
  </si>
  <si>
    <t>1325 Candy Rd, San Francisco, CA 96123</t>
  </si>
  <si>
    <t xml:space="preserve">ZW60001 </t>
  </si>
  <si>
    <t xml:space="preserve">Macbook Air (2015) </t>
  </si>
  <si>
    <t>Iphone X</t>
  </si>
  <si>
    <t>1931 Brown St, Gainesville, FL 85321</t>
  </si>
  <si>
    <t xml:space="preserve">AB61001 </t>
  </si>
  <si>
    <t>Iphone 7</t>
  </si>
  <si>
    <t>Iphone 8</t>
  </si>
  <si>
    <t xml:space="preserve">1622 Seaside St, Seattle, WA 32569 </t>
  </si>
  <si>
    <t xml:space="preserve">CD62001 </t>
  </si>
  <si>
    <t>Ipad Air</t>
  </si>
  <si>
    <t>Ipad Mini 3th gen</t>
  </si>
  <si>
    <t>1756 East Dr, Houston, TX 28562</t>
  </si>
  <si>
    <t xml:space="preserve">KB63001 </t>
  </si>
  <si>
    <t>ESC8000 G3</t>
  </si>
  <si>
    <t>ESC8000 G4</t>
  </si>
  <si>
    <t xml:space="preserve">1465 River Dr, Boston, MA 43625 </t>
  </si>
  <si>
    <t xml:space="preserve">IK64001 </t>
  </si>
  <si>
    <t>XPS 13 - 5080</t>
  </si>
  <si>
    <t>XPS 15 - 5070</t>
  </si>
  <si>
    <t>Monoprice Ultra Slim Series High Speed HDMI Cable</t>
  </si>
  <si>
    <t>1896 West Dr, Portland, OR 65842</t>
  </si>
  <si>
    <t xml:space="preserve">OP65001 </t>
  </si>
  <si>
    <t>Monoprice Ultra Slim Series High Speed HDMI Cable - 4K</t>
  </si>
  <si>
    <t>1252 Vine St, Chicago, IL 73215</t>
  </si>
  <si>
    <t xml:space="preserve">XH66001 </t>
  </si>
  <si>
    <t>Avantree HT3189 Wireless Headphones</t>
  </si>
  <si>
    <t>COWIN E7 PRO</t>
  </si>
  <si>
    <t>Revisión de Fecha</t>
  </si>
  <si>
    <t>Revisión de Fecha2</t>
  </si>
  <si>
    <t>Apple</t>
  </si>
  <si>
    <t>Microsoft</t>
  </si>
  <si>
    <t>Lenovo</t>
  </si>
  <si>
    <t>Asus</t>
  </si>
  <si>
    <t>Dell</t>
  </si>
  <si>
    <t>Monoprice</t>
  </si>
  <si>
    <t>Sony</t>
  </si>
  <si>
    <t>Estado</t>
  </si>
  <si>
    <t>Proceso</t>
  </si>
  <si>
    <t>Tránsito</t>
  </si>
  <si>
    <t>Entregado</t>
  </si>
  <si>
    <t>Estado 2</t>
  </si>
  <si>
    <t>Sin Inventario</t>
  </si>
  <si>
    <t>A tiempo</t>
  </si>
  <si>
    <t>Retraso</t>
  </si>
  <si>
    <t>Conforme</t>
  </si>
  <si>
    <t>Reclamo</t>
  </si>
  <si>
    <t>Inventario Ok</t>
  </si>
  <si>
    <t>Mes</t>
  </si>
  <si>
    <t>Apellido</t>
  </si>
  <si>
    <t>Anna</t>
  </si>
  <si>
    <t>Addison</t>
  </si>
  <si>
    <t>Carol</t>
  </si>
  <si>
    <t>Campbell</t>
  </si>
  <si>
    <t>Julia</t>
  </si>
  <si>
    <t>Jones</t>
  </si>
  <si>
    <t>Irene</t>
  </si>
  <si>
    <t>Everly</t>
  </si>
  <si>
    <t>Rachel</t>
  </si>
  <si>
    <t>Rose</t>
  </si>
  <si>
    <t>Sophie</t>
  </si>
  <si>
    <t>Sutton</t>
  </si>
  <si>
    <t>Wendy</t>
  </si>
  <si>
    <t>West</t>
  </si>
  <si>
    <t>Nombre</t>
  </si>
  <si>
    <t>Concatenar</t>
  </si>
  <si>
    <t>10 - Addison - 1000</t>
  </si>
  <si>
    <t>10 - Campbell - 1001</t>
  </si>
  <si>
    <t>10 - Jones - 1002</t>
  </si>
  <si>
    <t>10 - Everly - 1003</t>
  </si>
  <si>
    <t>10 - Rose - 1004</t>
  </si>
  <si>
    <t>10 - Sutton - 1005</t>
  </si>
  <si>
    <t>10 - West - 1006</t>
  </si>
  <si>
    <t>Orden Extraer</t>
  </si>
  <si>
    <t>tracking</t>
  </si>
  <si>
    <t>SUMAR</t>
  </si>
  <si>
    <t>PROMEDIO</t>
  </si>
  <si>
    <t>CONTAR</t>
  </si>
  <si>
    <t>Absoluta</t>
  </si>
  <si>
    <t>Relativa</t>
  </si>
  <si>
    <t>Ventas Apple</t>
  </si>
  <si>
    <t>Unidades</t>
  </si>
  <si>
    <t>Moneda</t>
  </si>
  <si>
    <t>Venta</t>
  </si>
  <si>
    <t>Precio</t>
  </si>
  <si>
    <t>Pedidos Sony</t>
  </si>
  <si>
    <t>Promedio Dell</t>
  </si>
  <si>
    <t>Proveedor</t>
  </si>
  <si>
    <t>Suma Relativa</t>
  </si>
  <si>
    <t>Promedio Relativo</t>
  </si>
  <si>
    <t>CD</t>
  </si>
  <si>
    <t>ZW</t>
  </si>
  <si>
    <t>IK</t>
  </si>
  <si>
    <t>XH</t>
  </si>
  <si>
    <t>AB</t>
  </si>
  <si>
    <t>OP</t>
  </si>
  <si>
    <t>KB</t>
  </si>
  <si>
    <t>Peso</t>
  </si>
  <si>
    <t>Ventas</t>
  </si>
  <si>
    <t>Ponderado Manual</t>
  </si>
  <si>
    <t>SumaProd</t>
  </si>
  <si>
    <t>Nombrar Rangos</t>
  </si>
  <si>
    <t>Columna1</t>
  </si>
  <si>
    <t>Condicional</t>
  </si>
  <si>
    <t>Semaforo</t>
  </si>
  <si>
    <t>Etiquetas de fila</t>
  </si>
  <si>
    <t>Total general</t>
  </si>
  <si>
    <t>Etiquetas de columna</t>
  </si>
  <si>
    <t>Suma de Venta</t>
  </si>
  <si>
    <t>Suma de quantity</t>
  </si>
  <si>
    <t>Cuenta de quantity</t>
  </si>
  <si>
    <t>Valores</t>
  </si>
  <si>
    <t>Suma de Valor promedio por unidad</t>
  </si>
  <si>
    <t>(Todas)</t>
  </si>
  <si>
    <t>Marca</t>
  </si>
  <si>
    <t>Octubre</t>
  </si>
  <si>
    <t>Noviembre</t>
  </si>
  <si>
    <t>Participación</t>
  </si>
  <si>
    <t>BASE DE DATOS</t>
  </si>
  <si>
    <t>MENU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</si>
</sst>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??_-;_-@_-"/>
    <numFmt numFmtId="165" formatCode="_-[$$-409]* #,##0_ ;_-[$$-409]* \-#,##0\ ;_-[$$-409]* &quot;-&quot;??_ ;_-@_ "/>
    <numFmt numFmtId="166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 tint="4.9989318521683403E-2"/>
      <name val="Arial"/>
      <family val="2"/>
    </font>
    <font>
      <b/>
      <i/>
      <sz val="14"/>
      <color theme="0" tint="-4.9989318521683403E-2"/>
      <name val="Arial"/>
      <family val="2"/>
    </font>
    <font>
      <b/>
      <sz val="14"/>
      <color theme="1" tint="4.9989318521683403E-2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 tint="4.9989318521683403E-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" fontId="18" fillId="0" borderId="10" xfId="0" quotePrefix="1" applyNumberFormat="1" applyFon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5" fontId="18" fillId="0" borderId="10" xfId="0" quotePrefix="1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164" fontId="18" fillId="0" borderId="0" xfId="0" applyNumberFormat="1" applyFont="1" applyBorder="1" applyAlignment="1">
      <alignment horizontal="center" vertical="center"/>
    </xf>
    <xf numFmtId="166" fontId="18" fillId="0" borderId="0" xfId="0" quotePrefix="1" applyNumberFormat="1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9" fontId="21" fillId="0" borderId="12" xfId="0" applyNumberFormat="1" applyFont="1" applyFill="1" applyBorder="1" applyAlignment="1">
      <alignment horizontal="center" vertical="center"/>
    </xf>
    <xf numFmtId="164" fontId="21" fillId="0" borderId="12" xfId="0" applyNumberFormat="1" applyFont="1" applyFill="1" applyBorder="1" applyAlignment="1">
      <alignment horizontal="center" vertical="center"/>
    </xf>
    <xf numFmtId="164" fontId="21" fillId="0" borderId="15" xfId="0" applyNumberFormat="1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9" fontId="21" fillId="0" borderId="13" xfId="0" applyNumberFormat="1" applyFont="1" applyFill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4" fontId="21" fillId="0" borderId="0" xfId="0" applyNumberFormat="1" applyFont="1" applyBorder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4" fillId="0" borderId="0" xfId="0" applyFont="1"/>
    <xf numFmtId="0" fontId="25" fillId="0" borderId="10" xfId="0" applyFont="1" applyBorder="1" applyAlignment="1">
      <alignment horizontal="center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0" fontId="25" fillId="0" borderId="10" xfId="0" applyFont="1" applyBorder="1"/>
    <xf numFmtId="9" fontId="24" fillId="0" borderId="10" xfId="0" applyNumberFormat="1" applyFont="1" applyBorder="1"/>
    <xf numFmtId="0" fontId="0" fillId="36" borderId="0" xfId="0" applyFill="1"/>
    <xf numFmtId="0" fontId="23" fillId="0" borderId="0" xfId="0" applyFont="1" applyAlignment="1">
      <alignment horizontal="center" vertical="center"/>
    </xf>
    <xf numFmtId="0" fontId="26" fillId="36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9">
    <dxf>
      <font>
        <b/>
        <i val="0"/>
      </font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64" formatCode="_-&quot;$&quot;* #,##0_-;\-&quot;$&quot;* #,##0_-;_-&quot;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64" formatCode="_-&quot;$&quot;* #,##0_-;\-&quot;$&quot;* #,##0_-;_-&quot;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64" formatCode="_-&quot;$&quot;* #,##0_-;\-&quot;$&quot;* #,##0_-;_-&quot;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4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Graficas!$B$8</c:f>
              <c:strCache>
                <c:ptCount val="1"/>
                <c:pt idx="0">
                  <c:v>Octubre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Graficas!$A$9:$A$15</c:f>
              <c:strCache>
                <c:ptCount val="7"/>
                <c:pt idx="0">
                  <c:v>Microsoft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Lenovo</c:v>
                </c:pt>
                <c:pt idx="5">
                  <c:v>Monoprice</c:v>
                </c:pt>
                <c:pt idx="6">
                  <c:v>Sony</c:v>
                </c:pt>
              </c:strCache>
            </c:strRef>
          </c:cat>
          <c:val>
            <c:numRef>
              <c:f>Graficas!$B$9:$B$15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3-409C-BEF7-2EA995F61569}"/>
            </c:ext>
          </c:extLst>
        </c:ser>
        <c:ser>
          <c:idx val="1"/>
          <c:order val="1"/>
          <c:tx>
            <c:strRef>
              <c:f>Graficas!$C$8</c:f>
              <c:strCache>
                <c:ptCount val="1"/>
                <c:pt idx="0">
                  <c:v>Noviembre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Graficas!$A$9:$A$15</c:f>
              <c:strCache>
                <c:ptCount val="7"/>
                <c:pt idx="0">
                  <c:v>Microsoft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Lenovo</c:v>
                </c:pt>
                <c:pt idx="5">
                  <c:v>Monoprice</c:v>
                </c:pt>
                <c:pt idx="6">
                  <c:v>Sony</c:v>
                </c:pt>
              </c:strCache>
            </c:strRef>
          </c:cat>
          <c:val>
            <c:numRef>
              <c:f>Graficas!$C$9:$C$15</c:f>
              <c:numCache>
                <c:formatCode>General</c:formatCode>
                <c:ptCount val="7"/>
                <c:pt idx="0">
                  <c:v>9</c:v>
                </c:pt>
                <c:pt idx="1">
                  <c:v>13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3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3-409C-BEF7-2EA995F615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91970736"/>
        <c:axId val="1591971984"/>
      </c:barChart>
      <c:catAx>
        <c:axId val="15919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91971984"/>
        <c:crosses val="autoZero"/>
        <c:auto val="1"/>
        <c:lblAlgn val="ctr"/>
        <c:lblOffset val="100"/>
        <c:noMultiLvlLbl val="0"/>
      </c:catAx>
      <c:valAx>
        <c:axId val="15919719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19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Graficas!$B$26</c:f>
              <c:strCache>
                <c:ptCount val="1"/>
                <c:pt idx="0">
                  <c:v>Octubre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Graficas!$A$27:$A$33</c:f>
              <c:strCache>
                <c:ptCount val="7"/>
                <c:pt idx="0">
                  <c:v>Microsoft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Lenovo</c:v>
                </c:pt>
                <c:pt idx="5">
                  <c:v>Monoprice</c:v>
                </c:pt>
                <c:pt idx="6">
                  <c:v>Sony</c:v>
                </c:pt>
              </c:strCache>
            </c:strRef>
          </c:cat>
          <c:val>
            <c:numRef>
              <c:f>Graficas!$B$27:$B$33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0-483C-BC7E-05F7ACEEA577}"/>
            </c:ext>
          </c:extLst>
        </c:ser>
        <c:ser>
          <c:idx val="1"/>
          <c:order val="1"/>
          <c:tx>
            <c:strRef>
              <c:f>Graficas!$C$26</c:f>
              <c:strCache>
                <c:ptCount val="1"/>
                <c:pt idx="0">
                  <c:v>Noviembre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Graficas!$A$27:$A$33</c:f>
              <c:strCache>
                <c:ptCount val="7"/>
                <c:pt idx="0">
                  <c:v>Microsoft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Lenovo</c:v>
                </c:pt>
                <c:pt idx="5">
                  <c:v>Monoprice</c:v>
                </c:pt>
                <c:pt idx="6">
                  <c:v>Sony</c:v>
                </c:pt>
              </c:strCache>
            </c:strRef>
          </c:cat>
          <c:val>
            <c:numRef>
              <c:f>Graficas!$C$27:$C$33</c:f>
              <c:numCache>
                <c:formatCode>General</c:formatCode>
                <c:ptCount val="7"/>
                <c:pt idx="0">
                  <c:v>9</c:v>
                </c:pt>
                <c:pt idx="1">
                  <c:v>13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3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0-483C-BC7E-05F7ACEEA5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90054784"/>
        <c:axId val="1590052704"/>
      </c:barChart>
      <c:catAx>
        <c:axId val="159005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90052704"/>
        <c:crosses val="autoZero"/>
        <c:auto val="1"/>
        <c:lblAlgn val="ctr"/>
        <c:lblOffset val="100"/>
        <c:noMultiLvlLbl val="0"/>
      </c:catAx>
      <c:valAx>
        <c:axId val="159005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900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Graficas!$A$45</c:f>
              <c:strCache>
                <c:ptCount val="1"/>
                <c:pt idx="0">
                  <c:v>Microsoft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Graficas!$B$45:$C$45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A-4C88-8B03-CE34924947FE}"/>
            </c:ext>
          </c:extLst>
        </c:ser>
        <c:ser>
          <c:idx val="1"/>
          <c:order val="1"/>
          <c:tx>
            <c:strRef>
              <c:f>Graficas!$A$46</c:f>
              <c:strCache>
                <c:ptCount val="1"/>
                <c:pt idx="0">
                  <c:v>Apple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Graficas!$B$46:$C$46</c:f>
              <c:numCache>
                <c:formatCode>General</c:formatCode>
                <c:ptCount val="2"/>
                <c:pt idx="0">
                  <c:v>8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A-4C88-8B03-CE34924947FE}"/>
            </c:ext>
          </c:extLst>
        </c:ser>
        <c:ser>
          <c:idx val="2"/>
          <c:order val="2"/>
          <c:tx>
            <c:strRef>
              <c:f>Graficas!$A$47</c:f>
              <c:strCache>
                <c:ptCount val="1"/>
                <c:pt idx="0">
                  <c:v>Asus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Graficas!$B$47:$C$47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6A-4C88-8B03-CE34924947FE}"/>
            </c:ext>
          </c:extLst>
        </c:ser>
        <c:ser>
          <c:idx val="3"/>
          <c:order val="3"/>
          <c:tx>
            <c:strRef>
              <c:f>Graficas!$A$48</c:f>
              <c:strCache>
                <c:ptCount val="1"/>
                <c:pt idx="0">
                  <c:v>Dell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Graficas!$B$48:$C$48</c:f>
              <c:numCache>
                <c:formatCode>General</c:formatCode>
                <c:ptCount val="2"/>
                <c:pt idx="0">
                  <c:v>9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6A-4C88-8B03-CE34924947FE}"/>
            </c:ext>
          </c:extLst>
        </c:ser>
        <c:ser>
          <c:idx val="4"/>
          <c:order val="4"/>
          <c:tx>
            <c:strRef>
              <c:f>Graficas!$A$49</c:f>
              <c:strCache>
                <c:ptCount val="1"/>
                <c:pt idx="0">
                  <c:v>Lenovo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Graficas!$B$49:$C$49</c:f>
              <c:numCache>
                <c:formatCode>General</c:formatCode>
                <c:ptCount val="2"/>
                <c:pt idx="0">
                  <c:v>7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6A-4C88-8B03-CE34924947FE}"/>
            </c:ext>
          </c:extLst>
        </c:ser>
        <c:ser>
          <c:idx val="5"/>
          <c:order val="5"/>
          <c:tx>
            <c:strRef>
              <c:f>Graficas!$A$50</c:f>
              <c:strCache>
                <c:ptCount val="1"/>
                <c:pt idx="0">
                  <c:v>Monoprice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Graficas!$B$50:$C$50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6A-4C88-8B03-CE34924947FE}"/>
            </c:ext>
          </c:extLst>
        </c:ser>
        <c:ser>
          <c:idx val="6"/>
          <c:order val="6"/>
          <c:tx>
            <c:strRef>
              <c:f>Graficas!$A$51</c:f>
              <c:strCache>
                <c:ptCount val="1"/>
                <c:pt idx="0">
                  <c:v>Sony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Graficas!$B$44:$C$44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Graficas!$B$51:$C$51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6A-4C88-8B03-CE3492494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653392"/>
        <c:axId val="1590652560"/>
      </c:lineChart>
      <c:catAx>
        <c:axId val="1590653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90652560"/>
        <c:crosses val="autoZero"/>
        <c:auto val="1"/>
        <c:lblAlgn val="ctr"/>
        <c:lblOffset val="100"/>
        <c:noMultiLvlLbl val="0"/>
      </c:catAx>
      <c:valAx>
        <c:axId val="15906525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9065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Graficas!$C$66</c:f>
              <c:strCache>
                <c:ptCount val="1"/>
                <c:pt idx="0">
                  <c:v>Participación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Graficas!$A$67:$A$73</c:f>
              <c:strCache>
                <c:ptCount val="7"/>
                <c:pt idx="0">
                  <c:v>Microsoft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Lenovo</c:v>
                </c:pt>
                <c:pt idx="5">
                  <c:v>Monoprice</c:v>
                </c:pt>
                <c:pt idx="6">
                  <c:v>Sony</c:v>
                </c:pt>
              </c:strCache>
            </c:strRef>
          </c:cat>
          <c:val>
            <c:numRef>
              <c:f>Graficas!$C$67:$C$73</c:f>
              <c:numCache>
                <c:formatCode>0%</c:formatCode>
                <c:ptCount val="7"/>
                <c:pt idx="0">
                  <c:v>0.14000000000000001</c:v>
                </c:pt>
                <c:pt idx="1">
                  <c:v>0.2</c:v>
                </c:pt>
                <c:pt idx="2">
                  <c:v>0.14000000000000001</c:v>
                </c:pt>
                <c:pt idx="3">
                  <c:v>0.18</c:v>
                </c:pt>
                <c:pt idx="4">
                  <c:v>0.14000000000000001</c:v>
                </c:pt>
                <c:pt idx="5">
                  <c:v>0.05</c:v>
                </c:pt>
                <c:pt idx="6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9-4B28-8CCD-AE471F1643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BBDD!A1"/><Relationship Id="rId2" Type="http://schemas.openxmlformats.org/officeDocument/2006/relationships/hyperlink" Target="#Graficas!A1"/><Relationship Id="rId1" Type="http://schemas.openxmlformats.org/officeDocument/2006/relationships/hyperlink" Target="#TB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hyperlink" Target="#Home!A1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133350</xdr:rowOff>
    </xdr:from>
    <xdr:to>
      <xdr:col>3</xdr:col>
      <xdr:colOff>238125</xdr:colOff>
      <xdr:row>7</xdr:row>
      <xdr:rowOff>133350</xdr:rowOff>
    </xdr:to>
    <xdr:sp macro="" textlink="">
      <xdr:nvSpPr>
        <xdr:cNvPr id="2" name="Elips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B1CF1-7650-4D90-8EF8-03517134B3F4}"/>
            </a:ext>
          </a:extLst>
        </xdr:cNvPr>
        <xdr:cNvSpPr/>
      </xdr:nvSpPr>
      <xdr:spPr>
        <a:xfrm>
          <a:off x="542925" y="323850"/>
          <a:ext cx="19812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Y" sz="1600" b="1" i="1"/>
            <a:t>Tablas</a:t>
          </a:r>
          <a:r>
            <a:rPr lang="es-PY" sz="1600" b="1" i="1" baseline="0"/>
            <a:t> Dinamicas</a:t>
          </a:r>
          <a:endParaRPr lang="es-PY" sz="1600" b="1" i="1"/>
        </a:p>
      </xdr:txBody>
    </xdr:sp>
    <xdr:clientData/>
  </xdr:twoCellAnchor>
  <xdr:twoCellAnchor>
    <xdr:from>
      <xdr:col>4</xdr:col>
      <xdr:colOff>657225</xdr:colOff>
      <xdr:row>1</xdr:row>
      <xdr:rowOff>161925</xdr:rowOff>
    </xdr:from>
    <xdr:to>
      <xdr:col>7</xdr:col>
      <xdr:colOff>352425</xdr:colOff>
      <xdr:row>7</xdr:row>
      <xdr:rowOff>161925</xdr:rowOff>
    </xdr:to>
    <xdr:sp macro="" textlink="">
      <xdr:nvSpPr>
        <xdr:cNvPr id="4" name="Elips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BE8EE6-80F7-4B84-B742-E2BF2235593D}"/>
            </a:ext>
          </a:extLst>
        </xdr:cNvPr>
        <xdr:cNvSpPr/>
      </xdr:nvSpPr>
      <xdr:spPr>
        <a:xfrm>
          <a:off x="3705225" y="352425"/>
          <a:ext cx="19812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Y" sz="1800" b="1" i="1"/>
            <a:t>Gráficos</a:t>
          </a:r>
        </a:p>
      </xdr:txBody>
    </xdr:sp>
    <xdr:clientData/>
  </xdr:twoCellAnchor>
  <xdr:twoCellAnchor>
    <xdr:from>
      <xdr:col>2</xdr:col>
      <xdr:colOff>476250</xdr:colOff>
      <xdr:row>10</xdr:row>
      <xdr:rowOff>38100</xdr:rowOff>
    </xdr:from>
    <xdr:to>
      <xdr:col>5</xdr:col>
      <xdr:colOff>171450</xdr:colOff>
      <xdr:row>16</xdr:row>
      <xdr:rowOff>38100</xdr:rowOff>
    </xdr:to>
    <xdr:sp macro="" textlink="">
      <xdr:nvSpPr>
        <xdr:cNvPr id="5" name="Elips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63E95-78CE-434E-8BC3-5C4D11140DFA}"/>
            </a:ext>
          </a:extLst>
        </xdr:cNvPr>
        <xdr:cNvSpPr/>
      </xdr:nvSpPr>
      <xdr:spPr>
        <a:xfrm>
          <a:off x="2000250" y="1943100"/>
          <a:ext cx="19812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Y" sz="1600" b="1" i="1"/>
            <a:t>Base de Datos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</xdr:row>
      <xdr:rowOff>66675</xdr:rowOff>
    </xdr:from>
    <xdr:to>
      <xdr:col>2</xdr:col>
      <xdr:colOff>542925</xdr:colOff>
      <xdr:row>3</xdr:row>
      <xdr:rowOff>161925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B63EB-D3BD-4F20-909B-1C96EAE53C40}"/>
            </a:ext>
          </a:extLst>
        </xdr:cNvPr>
        <xdr:cNvSpPr/>
      </xdr:nvSpPr>
      <xdr:spPr>
        <a:xfrm>
          <a:off x="1323975" y="295275"/>
          <a:ext cx="1247775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Y" sz="1100" b="1" i="1"/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9525</xdr:rowOff>
    </xdr:from>
    <xdr:to>
      <xdr:col>4</xdr:col>
      <xdr:colOff>1790700</xdr:colOff>
      <xdr:row>3</xdr:row>
      <xdr:rowOff>180975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A9154-4AFC-4D03-A91E-7457CB541B59}"/>
            </a:ext>
          </a:extLst>
        </xdr:cNvPr>
        <xdr:cNvSpPr/>
      </xdr:nvSpPr>
      <xdr:spPr>
        <a:xfrm>
          <a:off x="4619625" y="200025"/>
          <a:ext cx="1247775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Y" sz="1100" b="1" i="1"/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6</xdr:row>
      <xdr:rowOff>185737</xdr:rowOff>
    </xdr:from>
    <xdr:to>
      <xdr:col>12</xdr:col>
      <xdr:colOff>152399</xdr:colOff>
      <xdr:row>19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3B5AC8-1868-4E69-9C72-E53BB86E3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38099</xdr:colOff>
      <xdr:row>25</xdr:row>
      <xdr:rowOff>14287</xdr:rowOff>
    </xdr:from>
    <xdr:to>
      <xdr:col>12</xdr:col>
      <xdr:colOff>238124</xdr:colOff>
      <xdr:row>37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C826EB-040F-421E-9C24-EB84F6466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9524</xdr:colOff>
      <xdr:row>42</xdr:row>
      <xdr:rowOff>147637</xdr:rowOff>
    </xdr:from>
    <xdr:to>
      <xdr:col>12</xdr:col>
      <xdr:colOff>323850</xdr:colOff>
      <xdr:row>58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1B60D9D-4015-48A0-89E7-0B33B6B1C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64</xdr:row>
      <xdr:rowOff>176211</xdr:rowOff>
    </xdr:from>
    <xdr:to>
      <xdr:col>12</xdr:col>
      <xdr:colOff>419100</xdr:colOff>
      <xdr:row>81</xdr:row>
      <xdr:rowOff>180974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881C201-554E-4F81-84E8-BB96B63D3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76200</xdr:colOff>
      <xdr:row>1</xdr:row>
      <xdr:rowOff>104775</xdr:rowOff>
    </xdr:from>
    <xdr:to>
      <xdr:col>4</xdr:col>
      <xdr:colOff>561975</xdr:colOff>
      <xdr:row>4</xdr:row>
      <xdr:rowOff>85725</xdr:rowOff>
    </xdr:to>
    <xdr:sp macro="" textlink="">
      <xdr:nvSpPr>
        <xdr:cNvPr id="7" name="Flecha: hacia la izquierda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B4F60D-A8C0-4BDE-98FF-A2C14C783B58}"/>
            </a:ext>
          </a:extLst>
        </xdr:cNvPr>
        <xdr:cNvSpPr/>
      </xdr:nvSpPr>
      <xdr:spPr>
        <a:xfrm>
          <a:off x="2962275" y="295275"/>
          <a:ext cx="1247775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Y" sz="1100" b="1" i="1"/>
            <a:t>REGRESAR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aru" refreshedDate="44791.6890712963" createdVersion="7" refreshedVersion="7" minRefreshableVersion="3" recordCount="30" xr:uid="{F7F7F9E2-F2F5-48DA-B1CE-AE01E2430BFF}">
  <cacheSource type="worksheet">
    <worksheetSource name="Tabla1"/>
  </cacheSource>
  <cacheFields count="27">
    <cacheField name="order_id" numFmtId="0">
      <sharedItems containsSemiMixedTypes="0" containsString="0" containsNumber="1" containsInteger="1" minValue="1000" maxValue="1006" count="7">
        <n v="1002"/>
        <n v="1000"/>
        <n v="1004"/>
        <n v="1006"/>
        <n v="1001"/>
        <n v="1005"/>
        <n v="1003"/>
      </sharedItems>
    </cacheField>
    <cacheField name="product_id" numFmtId="0">
      <sharedItems containsSemiMixedTypes="0" containsString="0" containsNumber="1" containsInteger="1" minValue="1200" maxValue="2600"/>
    </cacheField>
    <cacheField name="product_name" numFmtId="0">
      <sharedItems/>
    </cacheField>
    <cacheField name="vendor_id" numFmtId="0">
      <sharedItems containsSemiMixedTypes="0" containsString="0" containsNumber="1" containsInteger="1" minValue="5000" maxValue="5600" count="7">
        <n v="5100"/>
        <n v="5200"/>
        <n v="5000"/>
        <n v="5400"/>
        <n v="5600"/>
        <n v="5500"/>
        <n v="5300"/>
      </sharedItems>
    </cacheField>
    <cacheField name="nombre_proveedor" numFmtId="0">
      <sharedItems count="7">
        <s v="Microsoft"/>
        <s v="Lenovo"/>
        <s v="Apple"/>
        <s v="Dell"/>
        <s v="Sony"/>
        <s v="Monoprice"/>
        <s v="Asus"/>
      </sharedItems>
    </cacheField>
    <cacheField name="option_id" numFmtId="0">
      <sharedItems containsSemiMixedTypes="0" containsString="0" containsNumber="1" containsInteger="1" minValue="1201" maxValue="2602"/>
    </cacheField>
    <cacheField name="quantity" numFmtId="1">
      <sharedItems containsSemiMixedTypes="0" containsString="0" containsNumber="1" containsInteger="1" minValue="1" maxValue="3"/>
    </cacheField>
    <cacheField name="Precio" numFmtId="164">
      <sharedItems containsSemiMixedTypes="0" containsString="0" containsNumber="1" containsInteger="1" minValue="10" maxValue="1299"/>
    </cacheField>
    <cacheField name="Venta" numFmtId="164">
      <sharedItems containsSemiMixedTypes="0" containsString="0" containsNumber="1" containsInteger="1" minValue="15" maxValue="3750"/>
    </cacheField>
    <cacheField name="Condicional" numFmtId="164">
      <sharedItems/>
    </cacheField>
    <cacheField name="Semaforo" numFmtId="1">
      <sharedItems containsSemiMixedTypes="0" containsString="0" containsNumber="1" containsInteger="1" minValue="1" maxValue="3"/>
    </cacheField>
    <cacheField name="order_date" numFmtId="14">
      <sharedItems containsSemiMixedTypes="0" containsNonDate="0" containsDate="1" containsString="0" minDate="2018-10-12T00:00:00" maxDate="2018-10-22T00:00:00" count="7">
        <d v="2018-10-14T00:00:00"/>
        <d v="2018-10-17T00:00:00"/>
        <d v="2018-10-16T00:00:00"/>
        <d v="2018-10-21T00:00:00"/>
        <d v="2018-10-15T00:00:00"/>
        <d v="2018-10-13T00:00:00"/>
        <d v="2018-10-12T00:00:00"/>
      </sharedItems>
    </cacheField>
    <cacheField name="delivery_date" numFmtId="14">
      <sharedItems containsSemiMixedTypes="0" containsNonDate="0" containsDate="1" containsString="0" minDate="2018-10-15T00:00:00" maxDate="2018-10-25T00:00:00"/>
    </cacheField>
    <cacheField name="Mes" numFmtId="1">
      <sharedItems containsSemiMixedTypes="0" containsString="0" containsNumber="1" containsInteger="1" minValue="10" maxValue="10"/>
    </cacheField>
    <cacheField name="Nombre" numFmtId="0">
      <sharedItems/>
    </cacheField>
    <cacheField name="Apellido" numFmtId="0">
      <sharedItems/>
    </cacheField>
    <cacheField name="Concatenar" numFmtId="0">
      <sharedItems/>
    </cacheField>
    <cacheField name="Orden Extraer" numFmtId="1">
      <sharedItems containsSemiMixedTypes="0" containsString="0" containsNumber="1" containsInteger="1" minValue="1000" maxValue="1000"/>
    </cacheField>
    <cacheField name="ship_address " numFmtId="0">
      <sharedItems/>
    </cacheField>
    <cacheField name="tracking_number" numFmtId="0">
      <sharedItems/>
    </cacheField>
    <cacheField name="tracking" numFmtId="0">
      <sharedItems/>
    </cacheField>
    <cacheField name="delivery_status" numFmtId="0">
      <sharedItems containsSemiMixedTypes="0" containsString="0" containsNumber="1" containsInteger="1" minValue="0" maxValue="1"/>
    </cacheField>
    <cacheField name="Revisión de Fecha" numFmtId="1">
      <sharedItems containsSemiMixedTypes="0" containsString="0" containsNumber="1" containsInteger="1" minValue="3" maxValue="3"/>
    </cacheField>
    <cacheField name="Revisión de Fecha2" numFmtId="1">
      <sharedItems containsSemiMixedTypes="0" containsString="0" containsNumber="1" containsInteger="1" minValue="1391" maxValue="1400"/>
    </cacheField>
    <cacheField name="Estado" numFmtId="0">
      <sharedItems containsBlank="1" count="4">
        <s v="Tránsito"/>
        <s v="Proceso"/>
        <s v="Entregado"/>
        <m u="1"/>
      </sharedItems>
    </cacheField>
    <cacheField name="Estado 2" numFmtId="0">
      <sharedItems count="6">
        <s v="Retraso"/>
        <s v="Inventario Ok"/>
        <s v="Reclamo"/>
        <s v="Sin Inventario"/>
        <s v="A tiempo"/>
        <s v="Conforme"/>
      </sharedItems>
    </cacheField>
    <cacheField name="Valor promedio por unidad" numFmtId="0" formula="Venta /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1600"/>
    <s v="Iphone 8"/>
    <x v="0"/>
    <x v="0"/>
    <n v="1601"/>
    <n v="2"/>
    <n v="599"/>
    <n v="1198"/>
    <s v="Aplica p/ Bono"/>
    <n v="3"/>
    <x v="0"/>
    <d v="2018-10-17T00:00:00"/>
    <n v="10"/>
    <s v="Julia"/>
    <s v="Jones"/>
    <s v="10 - Jones - 1002"/>
    <n v="1000"/>
    <s v="1622 Seaside St, Seattle, WA 32569 "/>
    <s v="CD62001 "/>
    <s v="CD"/>
    <n v="1"/>
    <n v="3"/>
    <n v="1398"/>
    <x v="0"/>
    <x v="0"/>
  </r>
  <r>
    <x v="0"/>
    <n v="1700"/>
    <s v="Ipad Air"/>
    <x v="1"/>
    <x v="1"/>
    <n v="1702"/>
    <n v="3"/>
    <n v="899"/>
    <n v="2697"/>
    <s v="Aplica p/ Bono"/>
    <n v="3"/>
    <x v="0"/>
    <d v="2018-10-17T00:00:00"/>
    <n v="10"/>
    <s v="Julia"/>
    <s v="Jones"/>
    <s v="10 - Jones - 1002"/>
    <n v="1000"/>
    <s v="1622 Seaside St, Seattle, WA 32569 "/>
    <s v="CD62001 "/>
    <s v="CD"/>
    <n v="1"/>
    <n v="3"/>
    <n v="1398"/>
    <x v="1"/>
    <x v="1"/>
  </r>
  <r>
    <x v="1"/>
    <n v="1300"/>
    <s v="Macbook Air (2015) "/>
    <x v="2"/>
    <x v="2"/>
    <n v="1301"/>
    <n v="3"/>
    <n v="999"/>
    <n v="2997"/>
    <s v="Aplica p/ Bono"/>
    <n v="3"/>
    <x v="1"/>
    <d v="2018-10-20T00:00:00"/>
    <n v="10"/>
    <s v="Anna"/>
    <s v="Addison"/>
    <s v="10 - Addison - 1000"/>
    <n v="1000"/>
    <s v="1325 Candy Rd, San Francisco, CA 96123"/>
    <s v="ZW60001 "/>
    <s v="ZW"/>
    <n v="1"/>
    <n v="3"/>
    <n v="1395"/>
    <x v="0"/>
    <x v="0"/>
  </r>
  <r>
    <x v="2"/>
    <n v="2100"/>
    <s v="XPS 13 - 5080"/>
    <x v="3"/>
    <x v="3"/>
    <n v="2102"/>
    <n v="3"/>
    <n v="1250"/>
    <n v="3750"/>
    <s v="Aplica p/ Bono"/>
    <n v="3"/>
    <x v="2"/>
    <d v="2018-10-19T00:00:00"/>
    <n v="10"/>
    <s v="Rachel"/>
    <s v="Rose"/>
    <s v="10 - Rose - 1004"/>
    <n v="1000"/>
    <s v="1465 River Dr, Boston, MA 43625 "/>
    <s v="IK64001 "/>
    <s v="IK"/>
    <n v="1"/>
    <n v="3"/>
    <n v="1396"/>
    <x v="2"/>
    <x v="2"/>
  </r>
  <r>
    <x v="3"/>
    <n v="2600"/>
    <s v="COWIN E7 PRO"/>
    <x v="4"/>
    <x v="4"/>
    <n v="2602"/>
    <n v="1"/>
    <n v="800"/>
    <n v="800"/>
    <s v="Falta Poco"/>
    <n v="2"/>
    <x v="3"/>
    <d v="2018-10-24T00:00:00"/>
    <n v="10"/>
    <s v="Wendy"/>
    <s v="West"/>
    <s v="10 - West - 1006"/>
    <n v="1000"/>
    <s v="1252 Vine St, Chicago, IL 73215"/>
    <s v="XH66001 "/>
    <s v="XH"/>
    <n v="1"/>
    <n v="3"/>
    <n v="1391"/>
    <x v="1"/>
    <x v="3"/>
  </r>
  <r>
    <x v="2"/>
    <n v="2200"/>
    <s v="XPS 15 - 5070"/>
    <x v="3"/>
    <x v="3"/>
    <n v="2202"/>
    <n v="3"/>
    <n v="600"/>
    <n v="1800"/>
    <s v="Aplica p/ Bono"/>
    <n v="3"/>
    <x v="2"/>
    <d v="2018-10-19T00:00:00"/>
    <n v="10"/>
    <s v="Rachel"/>
    <s v="Rose"/>
    <s v="10 - Rose - 1004"/>
    <n v="1000"/>
    <s v="1465 River Dr, Boston, MA 43625 "/>
    <s v="IK64001 "/>
    <s v="IK"/>
    <n v="1"/>
    <n v="3"/>
    <n v="1396"/>
    <x v="0"/>
    <x v="0"/>
  </r>
  <r>
    <x v="1"/>
    <n v="1300"/>
    <s v="Macbook Air (2015) "/>
    <x v="2"/>
    <x v="2"/>
    <n v="1302"/>
    <n v="2"/>
    <n v="999"/>
    <n v="1998"/>
    <s v="Aplica p/ Bono"/>
    <n v="3"/>
    <x v="1"/>
    <d v="2018-10-20T00:00:00"/>
    <n v="10"/>
    <s v="Anna"/>
    <s v="Addison"/>
    <s v="10 - Addison - 1000"/>
    <n v="1000"/>
    <s v="1325 Candy Rd, San Francisco, CA 96123"/>
    <s v="ZW60001 "/>
    <s v="ZW"/>
    <n v="1"/>
    <n v="3"/>
    <n v="1395"/>
    <x v="1"/>
    <x v="1"/>
  </r>
  <r>
    <x v="2"/>
    <n v="2200"/>
    <s v="XPS 15 - 5070"/>
    <x v="3"/>
    <x v="3"/>
    <n v="2201"/>
    <n v="2"/>
    <n v="600"/>
    <n v="1200"/>
    <s v="Aplica p/ Bono"/>
    <n v="3"/>
    <x v="2"/>
    <d v="2018-10-19T00:00:00"/>
    <n v="10"/>
    <s v="Rachel"/>
    <s v="Rose"/>
    <s v="10 - Rose - 1004"/>
    <n v="1000"/>
    <s v="1465 River Dr, Boston, MA 43625 "/>
    <s v="IK64001 "/>
    <s v="IK"/>
    <n v="1"/>
    <n v="3"/>
    <n v="1396"/>
    <x v="0"/>
    <x v="0"/>
  </r>
  <r>
    <x v="3"/>
    <n v="2400"/>
    <s v="Monoprice Ultra Slim Series High Speed HDMI Cable - 4K"/>
    <x v="5"/>
    <x v="5"/>
    <n v="2402"/>
    <n v="2"/>
    <n v="10"/>
    <n v="20"/>
    <s v="No pasa nada"/>
    <n v="1"/>
    <x v="3"/>
    <d v="2018-10-24T00:00:00"/>
    <n v="10"/>
    <s v="Wendy"/>
    <s v="West"/>
    <s v="10 - West - 1006"/>
    <n v="1000"/>
    <s v="1252 Vine St, Chicago, IL 73215"/>
    <s v="XH66001 "/>
    <s v="XH"/>
    <n v="1"/>
    <n v="3"/>
    <n v="1391"/>
    <x v="2"/>
    <x v="2"/>
  </r>
  <r>
    <x v="3"/>
    <n v="2500"/>
    <s v="Avantree HT3189 Wireless Headphones"/>
    <x v="4"/>
    <x v="4"/>
    <n v="2501"/>
    <n v="3"/>
    <n v="250"/>
    <n v="750"/>
    <s v="No pasa nada"/>
    <n v="1"/>
    <x v="3"/>
    <d v="2018-10-24T00:00:00"/>
    <n v="10"/>
    <s v="Wendy"/>
    <s v="West"/>
    <s v="10 - West - 1006"/>
    <n v="1000"/>
    <s v="1252 Vine St, Chicago, IL 73215"/>
    <s v="XH66001 "/>
    <s v="XH"/>
    <n v="1"/>
    <n v="3"/>
    <n v="1391"/>
    <x v="0"/>
    <x v="0"/>
  </r>
  <r>
    <x v="3"/>
    <n v="2500"/>
    <s v="Avantree HT3189 Wireless Headphones"/>
    <x v="4"/>
    <x v="4"/>
    <n v="2502"/>
    <n v="1"/>
    <n v="250"/>
    <n v="250"/>
    <s v="No pasa nada"/>
    <n v="1"/>
    <x v="3"/>
    <d v="2018-10-24T00:00:00"/>
    <n v="10"/>
    <s v="Wendy"/>
    <s v="West"/>
    <s v="10 - West - 1006"/>
    <n v="1000"/>
    <s v="1252 Vine St, Chicago, IL 73215"/>
    <s v="XH66001 "/>
    <s v="XH"/>
    <n v="1"/>
    <n v="3"/>
    <n v="1391"/>
    <x v="0"/>
    <x v="4"/>
  </r>
  <r>
    <x v="4"/>
    <n v="1400"/>
    <s v="Iphone X"/>
    <x v="0"/>
    <x v="0"/>
    <n v="1401"/>
    <n v="1"/>
    <n v="799"/>
    <n v="799"/>
    <s v="No pasa nada"/>
    <n v="1"/>
    <x v="4"/>
    <d v="2018-10-18T00:00:00"/>
    <n v="10"/>
    <s v="Carol"/>
    <s v="Campbell"/>
    <s v="10 - Campbell - 1001"/>
    <n v="1000"/>
    <s v="1931 Brown St, Gainesville, FL 85321"/>
    <s v="AB61001 "/>
    <s v="AB"/>
    <n v="0"/>
    <n v="3"/>
    <n v="1397"/>
    <x v="1"/>
    <x v="3"/>
  </r>
  <r>
    <x v="5"/>
    <n v="2300"/>
    <s v="Monoprice Ultra Slim Series High Speed HDMI Cable"/>
    <x v="5"/>
    <x v="5"/>
    <n v="2302"/>
    <n v="1"/>
    <n v="15"/>
    <n v="15"/>
    <s v="No pasa nada"/>
    <n v="1"/>
    <x v="5"/>
    <d v="2018-10-16T00:00:00"/>
    <n v="10"/>
    <s v="Sophie"/>
    <s v="Sutton"/>
    <s v="10 - Sutton - 1005"/>
    <n v="1000"/>
    <s v="1896 West Dr, Portland, OR 65842"/>
    <s v="OP65001 "/>
    <s v="OP"/>
    <n v="0"/>
    <n v="3"/>
    <n v="1399"/>
    <x v="0"/>
    <x v="4"/>
  </r>
  <r>
    <x v="1"/>
    <n v="1200"/>
    <s v="Macbook Pro (2017)"/>
    <x v="2"/>
    <x v="2"/>
    <n v="1201"/>
    <n v="2"/>
    <n v="1299"/>
    <n v="2598"/>
    <s v="Aplica p/ Bono"/>
    <n v="3"/>
    <x v="1"/>
    <d v="2018-10-20T00:00:00"/>
    <n v="10"/>
    <s v="Anna"/>
    <s v="Addison"/>
    <s v="10 - Addison - 1000"/>
    <n v="1000"/>
    <s v="1325 Candy Rd, San Francisco, CA 96123"/>
    <s v="ZW60001 "/>
    <s v="ZW"/>
    <n v="1"/>
    <n v="3"/>
    <n v="1395"/>
    <x v="2"/>
    <x v="2"/>
  </r>
  <r>
    <x v="2"/>
    <n v="2000"/>
    <s v="ESC8000 G4"/>
    <x v="6"/>
    <x v="6"/>
    <n v="2002"/>
    <n v="3"/>
    <n v="450"/>
    <n v="1350"/>
    <s v="Aplica p/ Bono"/>
    <n v="3"/>
    <x v="2"/>
    <d v="2018-10-19T00:00:00"/>
    <n v="10"/>
    <s v="Rachel"/>
    <s v="Rose"/>
    <s v="10 - Rose - 1004"/>
    <n v="1000"/>
    <s v="1465 River Dr, Boston, MA 43625 "/>
    <s v="IK64001 "/>
    <s v="IK"/>
    <n v="1"/>
    <n v="3"/>
    <n v="1396"/>
    <x v="0"/>
    <x v="4"/>
  </r>
  <r>
    <x v="6"/>
    <n v="1800"/>
    <s v="Ipad Mini 3th gen"/>
    <x v="1"/>
    <x v="1"/>
    <n v="1801"/>
    <n v="1"/>
    <n v="499"/>
    <n v="499"/>
    <s v="No pasa nada"/>
    <n v="1"/>
    <x v="6"/>
    <d v="2018-10-15T00:00:00"/>
    <n v="10"/>
    <s v="Irene"/>
    <s v="Everly"/>
    <s v="10 - Everly - 1003"/>
    <n v="1000"/>
    <s v="1756 East Dr, Houston, TX 28562"/>
    <s v="KB63001 "/>
    <s v="KB"/>
    <n v="0"/>
    <n v="3"/>
    <n v="1400"/>
    <x v="1"/>
    <x v="3"/>
  </r>
  <r>
    <x v="1"/>
    <n v="1200"/>
    <s v="Macbook Pro (2017)"/>
    <x v="2"/>
    <x v="2"/>
    <n v="1202"/>
    <n v="1"/>
    <n v="1299"/>
    <n v="1299"/>
    <s v="Aplica p/ Bono"/>
    <n v="3"/>
    <x v="1"/>
    <d v="2018-10-20T00:00:00"/>
    <n v="10"/>
    <s v="Anna"/>
    <s v="Addison"/>
    <s v="10 - Addison - 1000"/>
    <n v="1000"/>
    <s v="1325 Candy Rd, San Francisco, CA 96123"/>
    <s v="ZW60001 "/>
    <s v="ZW"/>
    <n v="1"/>
    <n v="3"/>
    <n v="1395"/>
    <x v="0"/>
    <x v="4"/>
  </r>
  <r>
    <x v="6"/>
    <n v="1800"/>
    <s v="Ipad Mini 3th gen"/>
    <x v="1"/>
    <x v="1"/>
    <n v="1802"/>
    <n v="2"/>
    <n v="499"/>
    <n v="998"/>
    <s v="Aplica p/ Bono"/>
    <n v="3"/>
    <x v="6"/>
    <d v="2018-10-15T00:00:00"/>
    <n v="10"/>
    <s v="Irene"/>
    <s v="Everly"/>
    <s v="10 - Everly - 1003"/>
    <n v="1000"/>
    <s v="1756 East Dr, Houston, TX 28562"/>
    <s v="KB63001 "/>
    <s v="KB"/>
    <n v="0"/>
    <n v="3"/>
    <n v="1400"/>
    <x v="0"/>
    <x v="0"/>
  </r>
  <r>
    <x v="2"/>
    <n v="2100"/>
    <s v="XPS 13 - 5080"/>
    <x v="3"/>
    <x v="3"/>
    <n v="2101"/>
    <n v="1"/>
    <n v="1250"/>
    <n v="1250"/>
    <s v="Aplica p/ Bono"/>
    <n v="3"/>
    <x v="2"/>
    <d v="2018-10-19T00:00:00"/>
    <n v="10"/>
    <s v="Rachel"/>
    <s v="Rose"/>
    <s v="10 - Rose - 1004"/>
    <n v="1000"/>
    <s v="1465 River Dr, Boston, MA 43625 "/>
    <s v="IK64001 "/>
    <s v="IK"/>
    <n v="1"/>
    <n v="3"/>
    <n v="1396"/>
    <x v="2"/>
    <x v="5"/>
  </r>
  <r>
    <x v="4"/>
    <n v="1500"/>
    <s v="Iphone 7"/>
    <x v="0"/>
    <x v="0"/>
    <n v="1502"/>
    <n v="3"/>
    <n v="399"/>
    <n v="1197"/>
    <s v="Aplica p/ Bono"/>
    <n v="3"/>
    <x v="4"/>
    <d v="2018-10-18T00:00:00"/>
    <n v="10"/>
    <s v="Carol"/>
    <s v="Campbell"/>
    <s v="10 - Campbell - 1001"/>
    <n v="1000"/>
    <s v="1931 Brown St, Gainesville, FL 85321"/>
    <s v="AB61001 "/>
    <s v="AB"/>
    <n v="0"/>
    <n v="3"/>
    <n v="1397"/>
    <x v="0"/>
    <x v="4"/>
  </r>
  <r>
    <x v="5"/>
    <n v="2400"/>
    <s v="Monoprice Ultra Slim Series High Speed HDMI Cable - 4K"/>
    <x v="5"/>
    <x v="5"/>
    <n v="2401"/>
    <n v="3"/>
    <n v="10"/>
    <n v="30"/>
    <s v="No pasa nada"/>
    <n v="1"/>
    <x v="5"/>
    <d v="2018-10-16T00:00:00"/>
    <n v="10"/>
    <s v="Sophie"/>
    <s v="Sutton"/>
    <s v="10 - Sutton - 1005"/>
    <n v="1000"/>
    <s v="1896 West Dr, Portland, OR 65842"/>
    <s v="OP65001 "/>
    <s v="OP"/>
    <n v="0"/>
    <n v="3"/>
    <n v="1399"/>
    <x v="2"/>
    <x v="2"/>
  </r>
  <r>
    <x v="2"/>
    <n v="2000"/>
    <s v="ESC8000 G4"/>
    <x v="6"/>
    <x v="6"/>
    <n v="2001"/>
    <n v="2"/>
    <n v="450"/>
    <n v="900"/>
    <s v="Aplica p/ Bono"/>
    <n v="3"/>
    <x v="2"/>
    <d v="2018-10-19T00:00:00"/>
    <n v="10"/>
    <s v="Rachel"/>
    <s v="Rose"/>
    <s v="10 - Rose - 1004"/>
    <n v="1000"/>
    <s v="1465 River Dr, Boston, MA 43625 "/>
    <s v="IK64001 "/>
    <s v="IK"/>
    <n v="1"/>
    <n v="3"/>
    <n v="1396"/>
    <x v="1"/>
    <x v="3"/>
  </r>
  <r>
    <x v="4"/>
    <n v="1400"/>
    <s v="Iphone X"/>
    <x v="0"/>
    <x v="0"/>
    <n v="1402"/>
    <n v="1"/>
    <n v="799"/>
    <n v="799"/>
    <s v="No pasa nada"/>
    <n v="1"/>
    <x v="4"/>
    <d v="2018-10-18T00:00:00"/>
    <n v="10"/>
    <s v="Carol"/>
    <s v="Campbell"/>
    <s v="10 - Campbell - 1001"/>
    <n v="1000"/>
    <s v="1931 Brown St, Gainesville, FL 85321"/>
    <s v="AB61001 "/>
    <s v="AB"/>
    <n v="0"/>
    <n v="3"/>
    <n v="1397"/>
    <x v="1"/>
    <x v="1"/>
  </r>
  <r>
    <x v="4"/>
    <n v="1500"/>
    <s v="Iphone 7"/>
    <x v="0"/>
    <x v="0"/>
    <n v="1501"/>
    <n v="2"/>
    <n v="399"/>
    <n v="798"/>
    <s v="No pasa nada"/>
    <n v="1"/>
    <x v="4"/>
    <d v="2018-10-18T00:00:00"/>
    <n v="10"/>
    <s v="Carol"/>
    <s v="Campbell"/>
    <s v="10 - Campbell - 1001"/>
    <n v="1000"/>
    <s v="1931 Brown St, Gainesville, FL 85321"/>
    <s v="AB61001 "/>
    <s v="AB"/>
    <n v="0"/>
    <n v="3"/>
    <n v="1397"/>
    <x v="0"/>
    <x v="0"/>
  </r>
  <r>
    <x v="0"/>
    <n v="1700"/>
    <s v="Ipad Air"/>
    <x v="1"/>
    <x v="1"/>
    <n v="1701"/>
    <n v="1"/>
    <n v="899"/>
    <n v="899"/>
    <s v="Aplica p/ Bono"/>
    <n v="3"/>
    <x v="0"/>
    <d v="2018-10-17T00:00:00"/>
    <n v="10"/>
    <s v="Julia"/>
    <s v="Jones"/>
    <s v="10 - Jones - 1002"/>
    <n v="1000"/>
    <s v="1622 Seaside St, Seattle, WA 32569 "/>
    <s v="CD62001 "/>
    <s v="CD"/>
    <n v="1"/>
    <n v="3"/>
    <n v="1398"/>
    <x v="1"/>
    <x v="1"/>
  </r>
  <r>
    <x v="6"/>
    <n v="1900"/>
    <s v="ESC8000 G3"/>
    <x v="6"/>
    <x v="6"/>
    <n v="1901"/>
    <n v="1"/>
    <n v="650"/>
    <n v="650"/>
    <s v="No pasa nada"/>
    <n v="1"/>
    <x v="6"/>
    <d v="2018-10-15T00:00:00"/>
    <n v="10"/>
    <s v="Irene"/>
    <s v="Everly"/>
    <s v="10 - Everly - 1003"/>
    <n v="1000"/>
    <s v="1756 East Dr, Houston, TX 28562"/>
    <s v="KB63001 "/>
    <s v="KB"/>
    <n v="0"/>
    <n v="3"/>
    <n v="1400"/>
    <x v="2"/>
    <x v="5"/>
  </r>
  <r>
    <x v="0"/>
    <n v="1600"/>
    <s v="Iphone 8"/>
    <x v="0"/>
    <x v="0"/>
    <n v="1602"/>
    <n v="1"/>
    <n v="599"/>
    <n v="599"/>
    <s v="No pasa nada"/>
    <n v="1"/>
    <x v="0"/>
    <d v="2018-10-17T00:00:00"/>
    <n v="10"/>
    <s v="Julia"/>
    <s v="Jones"/>
    <s v="10 - Jones - 1002"/>
    <n v="1000"/>
    <s v="1622 Seaside St, Seattle, WA 32569 "/>
    <s v="CD62001 "/>
    <s v="CD"/>
    <n v="1"/>
    <n v="3"/>
    <n v="1398"/>
    <x v="0"/>
    <x v="0"/>
  </r>
  <r>
    <x v="3"/>
    <n v="2600"/>
    <s v="COWIN E7 PRO"/>
    <x v="4"/>
    <x v="4"/>
    <n v="2601"/>
    <n v="2"/>
    <n v="800"/>
    <n v="1600"/>
    <s v="Aplica p/ Bono"/>
    <n v="3"/>
    <x v="3"/>
    <d v="2018-10-24T00:00:00"/>
    <n v="10"/>
    <s v="Wendy"/>
    <s v="West"/>
    <s v="10 - West - 1006"/>
    <n v="1000"/>
    <s v="1252 Vine St, Chicago, IL 73215"/>
    <s v="XH66001 "/>
    <s v="XH"/>
    <n v="1"/>
    <n v="3"/>
    <n v="1391"/>
    <x v="2"/>
    <x v="5"/>
  </r>
  <r>
    <x v="6"/>
    <n v="1900"/>
    <s v="ESC8000 G3"/>
    <x v="6"/>
    <x v="6"/>
    <n v="1902"/>
    <n v="2"/>
    <n v="650"/>
    <n v="1300"/>
    <s v="Aplica p/ Bono"/>
    <n v="3"/>
    <x v="6"/>
    <d v="2018-10-15T00:00:00"/>
    <n v="10"/>
    <s v="Irene"/>
    <s v="Everly"/>
    <s v="10 - Everly - 1003"/>
    <n v="1000"/>
    <s v="1756 East Dr, Houston, TX 28562"/>
    <s v="KB63001 "/>
    <s v="KB"/>
    <n v="0"/>
    <n v="3"/>
    <n v="1400"/>
    <x v="0"/>
    <x v="0"/>
  </r>
  <r>
    <x v="5"/>
    <n v="2300"/>
    <s v="Monoprice Ultra Slim Series High Speed HDMI Cable"/>
    <x v="5"/>
    <x v="5"/>
    <n v="2301"/>
    <n v="1"/>
    <n v="15"/>
    <n v="15"/>
    <s v="No pasa nada"/>
    <n v="1"/>
    <x v="5"/>
    <d v="2018-10-16T00:00:00"/>
    <n v="10"/>
    <s v="Sophie"/>
    <s v="Sutton"/>
    <s v="10 - Sutton - 1005"/>
    <n v="1000"/>
    <s v="1896 West Dr, Portland, OR 65842"/>
    <s v="OP65001 "/>
    <s v="OP"/>
    <n v="0"/>
    <n v="3"/>
    <n v="139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81774-E4CB-4692-A943-09C46914D198}" name="TablaDinámica2" cacheId="2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gridDropZones="1" multipleFieldFilters="0">
  <location ref="A21:E30" firstHeaderRow="1" firstDataRow="2" firstDataCol="2" rowPageCount="1" colPageCount="1"/>
  <pivotFields count="27">
    <pivotField compact="0" outline="0" showAll="0"/>
    <pivotField compact="0" outline="0" showAll="0"/>
    <pivotField compact="0" outline="0" showAll="0"/>
    <pivotField axis="axisRow" compact="0" outline="0" showAll="0">
      <items count="8">
        <item x="2"/>
        <item x="0"/>
        <item x="1"/>
        <item x="6"/>
        <item x="3"/>
        <item x="5"/>
        <item x="4"/>
        <item t="default"/>
      </items>
    </pivotField>
    <pivotField axis="axisRow" compact="0" outline="0" showAll="0" defaultSubtotal="0">
      <items count="7">
        <item x="2"/>
        <item x="6"/>
        <item x="3"/>
        <item x="1"/>
        <item x="0"/>
        <item x="5"/>
        <item x="4"/>
      </items>
    </pivotField>
    <pivotField compact="0" outline="0" showAll="0"/>
    <pivotField dataField="1" compact="0" numFmtId="1" outline="0" showAll="0"/>
    <pivotField compact="0" numFmtId="164" outline="0" showAll="0"/>
    <pivotField dataField="1" compact="0" numFmtId="164" outline="0" showAll="0"/>
    <pivotField compact="0" outline="0" showAll="0"/>
    <pivotField compact="0" numFmtId="1" outline="0" showAll="0"/>
    <pivotField compact="0" numFmtId="14" outline="0" showAll="0"/>
    <pivotField compact="0" numFmtId="14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axis="axisPage" compact="0" outline="0" showAll="0">
      <items count="5">
        <item x="2"/>
        <item x="1"/>
        <item x="0"/>
        <item m="1" x="3"/>
        <item t="default"/>
      </items>
    </pivotField>
    <pivotField compact="0" outline="0" showAll="0">
      <items count="7">
        <item x="4"/>
        <item x="5"/>
        <item x="1"/>
        <item x="2"/>
        <item x="0"/>
        <item x="3"/>
        <item t="default"/>
      </items>
    </pivotField>
    <pivotField dataField="1" compact="0" outline="0" dragToRow="0" dragToCol="0" dragToPage="0" showAll="0" defaultSubtotal="0"/>
  </pivotFields>
  <rowFields count="2">
    <field x="4"/>
    <field x="3"/>
  </rowFields>
  <rowItems count="8">
    <i>
      <x/>
      <x/>
    </i>
    <i>
      <x v="1"/>
      <x v="3"/>
    </i>
    <i>
      <x v="2"/>
      <x v="4"/>
    </i>
    <i>
      <x v="3"/>
      <x v="2"/>
    </i>
    <i>
      <x v="4"/>
      <x v="1"/>
    </i>
    <i>
      <x v="5"/>
      <x v="5"/>
    </i>
    <i>
      <x v="6"/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a de Venta" fld="8" baseField="0" baseItem="0" numFmtId="164"/>
    <dataField name="Suma de quantity" fld="6" baseField="0" baseItem="0"/>
    <dataField name="Suma de Valor promedio por unidad" fld="26" baseField="0" baseItem="0"/>
  </dataFields>
  <formats count="1"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C512B2-8527-4C02-89EF-D6E92BB6F0BB}" name="TablaDinámica1" cacheId="2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7:I16" firstHeaderRow="1" firstDataRow="2" firstDataCol="1"/>
  <pivotFields count="27">
    <pivotField axis="axisRow" showAll="0">
      <items count="8">
        <item x="1"/>
        <item x="4"/>
        <item x="0"/>
        <item x="6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  <pivotField dataField="1" numFmtId="1" showAll="0"/>
    <pivotField numFmtId="164" showAll="0"/>
    <pivotField numFmtId="164" showAll="0"/>
    <pivotField showAll="0"/>
    <pivotField numFmtId="1" showAll="0"/>
    <pivotField axis="axisCol" numFmtId="14" showAll="0">
      <items count="8">
        <item x="6"/>
        <item x="5"/>
        <item x="0"/>
        <item x="4"/>
        <item x="2"/>
        <item x="1"/>
        <item x="3"/>
        <item t="default"/>
      </items>
    </pivotField>
    <pivotField numFmtId="14" showAll="0"/>
    <pivotField numFmtI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uenta de quantity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Z35" totalsRowShown="0" headerRowDxfId="48" dataDxfId="40">
  <tableColumns count="26">
    <tableColumn id="1" xr3:uid="{00000000-0010-0000-0000-000001000000}" name="order_id" dataDxfId="33"/>
    <tableColumn id="2" xr3:uid="{00000000-0010-0000-0000-000002000000}" name="product_id" dataDxfId="32"/>
    <tableColumn id="3" xr3:uid="{00000000-0010-0000-0000-000003000000}" name="product_name" dataDxfId="31"/>
    <tableColumn id="4" xr3:uid="{00000000-0010-0000-0000-000004000000}" name="vendor_id" dataDxfId="30"/>
    <tableColumn id="5" xr3:uid="{00000000-0010-0000-0000-000005000000}" name="nombre_proveedor" dataDxfId="29"/>
    <tableColumn id="6" xr3:uid="{00000000-0010-0000-0000-000006000000}" name="option_id" dataDxfId="28"/>
    <tableColumn id="7" xr3:uid="{00000000-0010-0000-0000-000007000000}" name="quantity" dataDxfId="27"/>
    <tableColumn id="21" xr3:uid="{F956B386-EB5F-4A6D-9917-B02111639504}" name="Precio" dataDxfId="26"/>
    <tableColumn id="22" xr3:uid="{D5154326-50AC-40F0-B90F-7DBCB05FD3F1}" name="Venta" dataDxfId="25"/>
    <tableColumn id="9" xr3:uid="{96B2B6A8-C8C9-42C5-98B6-B1C8AB3AAC6E}" name="Condicional" dataDxfId="24">
      <calculatedColumnFormula>+IF(Tabla1[[#This Row],[Venta]]&gt;800,"Aplica p/ Bono",IF(Tabla1[[#This Row],[Venta]]=800,"Falta Poco","No pasa nada"))</calculatedColumnFormula>
    </tableColumn>
    <tableColumn id="8" xr3:uid="{FA6EF52B-9FA8-422C-9696-F318F33BD733}" name="Semaforo" dataDxfId="23">
      <calculatedColumnFormula>+IF(Tabla1[[#This Row],[Venta]]&gt;800,3,IF(Tabla1[[#This Row],[Venta]]=800,2,1))</calculatedColumnFormula>
    </tableColumn>
    <tableColumn id="11" xr3:uid="{00000000-0010-0000-0000-00000B000000}" name="order_date" dataDxfId="22"/>
    <tableColumn id="12" xr3:uid="{00000000-0010-0000-0000-00000C000000}" name="delivery_date" dataDxfId="21"/>
    <tableColumn id="31" xr3:uid="{126125E8-0CCE-424C-922A-0EE5CD443C8B}" name="Mes" dataDxfId="20"/>
    <tableColumn id="13" xr3:uid="{00000000-0010-0000-0000-00000D000000}" name="Nombre" dataDxfId="19"/>
    <tableColumn id="32" xr3:uid="{9B06A7FC-D3DF-4377-82C9-BC51ACA9633F}" name="Apellido" dataDxfId="18"/>
    <tableColumn id="33" xr3:uid="{629BBE7A-FDF8-4ADC-B702-E82629F4C185}" name="Concatenar" dataDxfId="17"/>
    <tableColumn id="34" xr3:uid="{EE069459-E405-4514-940B-B4E24716DC36}" name="Orden Extraer" dataDxfId="16"/>
    <tableColumn id="14" xr3:uid="{00000000-0010-0000-0000-00000E000000}" name="ship_address " dataDxfId="15"/>
    <tableColumn id="15" xr3:uid="{00000000-0010-0000-0000-00000F000000}" name="tracking_number" dataDxfId="14"/>
    <tableColumn id="35" xr3:uid="{06E7CB4F-38F4-45DC-BC05-82B69E858B0B}" name="tracking" dataDxfId="13"/>
    <tableColumn id="16" xr3:uid="{00000000-0010-0000-0000-000010000000}" name="delivery_status" dataDxfId="12"/>
    <tableColumn id="17" xr3:uid="{D3B5FE9D-5D55-4C99-B58D-5BDDEB567B5B}" name="Revisión de Fecha" dataDxfId="11"/>
    <tableColumn id="18" xr3:uid="{6899D26E-96A8-4949-819A-730622CACB58}" name="Revisión de Fecha2" dataDxfId="10"/>
    <tableColumn id="29" xr3:uid="{D2FC8B7D-7CFB-4EE1-B9FB-59440325CA86}" name="Estado" dataDxfId="9"/>
    <tableColumn id="30" xr3:uid="{585DBFA7-E2D3-4E25-A49D-89CF3B62CB84}" name="Estado 2" dataDxfId="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A82BE-7815-4CFB-9D57-010F968B258B}" name="Tabla2" displayName="Tabla2" ref="F52:H59" totalsRowShown="0" headerRowDxfId="47" dataDxfId="46">
  <tableColumns count="3">
    <tableColumn id="1" xr3:uid="{0EB7B4C3-E3F2-46E8-BAF3-AB970870C3FC}" name="Proveedor" dataDxfId="7"/>
    <tableColumn id="2" xr3:uid="{D5A95F70-762D-4442-B9BB-579D1DBDBF1C}" name="Suma Relativa" dataDxfId="6"/>
    <tableColumn id="3" xr3:uid="{F9A63172-E2A1-49B9-AEC8-BF31FBFAEA43}" name="Promedio Relativo" dataDxfId="5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6C7AEA-4CC4-45B3-B69B-48E0FCD3FBE3}" name="Tabla3" displayName="Tabla3" ref="F42:I49" totalsRowShown="0" headerRowDxfId="45" dataDxfId="43" headerRowBorderDxfId="44" tableBorderDxfId="42" totalsRowBorderDxfId="41">
  <tableColumns count="4">
    <tableColumn id="1" xr3:uid="{29DC6911-B36A-43B7-84E9-5C92A3C9C5CA}" name="Proveedor" dataDxfId="4"/>
    <tableColumn id="2" xr3:uid="{AE62F7AF-1BBD-4886-B01D-CE2A5280E16C}" name="Peso" dataDxfId="3"/>
    <tableColumn id="3" xr3:uid="{A2CF5A5D-34C0-4505-9335-7129D4C16CFE}" name="Ventas" dataDxfId="2">
      <calculatedColumnFormula array="1">+SUMIF(Proveedores,F43,Ventas)</calculatedColumnFormula>
    </tableColumn>
    <tableColumn id="4" xr3:uid="{E3D4B843-DCCE-4513-860B-0A91FF2E3C6F}" name="Ponderado Manual" dataDxfId="1">
      <calculatedColumnFormula>+H43*G43</calculatedColumnFormula>
    </tableColumn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8B1B5-8EC1-4696-9A83-7CAABF2C03C0}" name="Tabla7" displayName="Tabla7" ref="F1:H7" totalsRowShown="0" headerRowDxfId="35" dataDxfId="34">
  <tableColumns count="3">
    <tableColumn id="1" xr3:uid="{73140C9A-9BBB-423B-8DA3-1DEC395B7882}" name="Estado" dataDxfId="38"/>
    <tableColumn id="2" xr3:uid="{64F9A6EF-B28F-46D4-826D-906FBD3A5DB4}" name="Estado 2" dataDxfId="37"/>
    <tableColumn id="3" xr3:uid="{4D0DB5C5-58C9-479E-993D-900E20532411}" name="Columna1" dataDxfId="36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DA79-A5FA-431E-BB5C-92F949B9C836}">
  <dimension ref="A1:H19"/>
  <sheetViews>
    <sheetView showGridLines="0" showRowColHeaders="0" tabSelected="1" workbookViewId="0">
      <selection activeCell="H14" sqref="H14"/>
    </sheetView>
  </sheetViews>
  <sheetFormatPr baseColWidth="10" defaultColWidth="0" defaultRowHeight="15" zeroHeight="1" x14ac:dyDescent="0.25"/>
  <cols>
    <col min="1" max="8" width="11.42578125" customWidth="1"/>
    <col min="9" max="16384" width="11.42578125" hidden="1"/>
  </cols>
  <sheetData>
    <row r="1" spans="1:8" x14ac:dyDescent="0.25">
      <c r="A1" s="49"/>
      <c r="B1" s="49"/>
      <c r="C1" s="49"/>
      <c r="D1" s="49"/>
      <c r="E1" s="49"/>
      <c r="F1" s="49"/>
      <c r="G1" s="49"/>
      <c r="H1" s="49"/>
    </row>
    <row r="2" spans="1:8" x14ac:dyDescent="0.25">
      <c r="A2" s="49"/>
      <c r="B2" s="49"/>
      <c r="C2" s="49"/>
      <c r="D2" s="49"/>
      <c r="E2" s="49"/>
      <c r="F2" s="49"/>
      <c r="G2" s="49"/>
      <c r="H2" s="49"/>
    </row>
    <row r="3" spans="1:8" x14ac:dyDescent="0.25">
      <c r="A3" s="49"/>
      <c r="B3" s="49"/>
      <c r="C3" s="49"/>
      <c r="D3" s="49"/>
      <c r="E3" s="49"/>
      <c r="F3" s="49"/>
      <c r="G3" s="49"/>
      <c r="H3" s="49"/>
    </row>
    <row r="4" spans="1:8" x14ac:dyDescent="0.25">
      <c r="A4" s="49"/>
      <c r="B4" s="49"/>
      <c r="C4" s="49"/>
      <c r="D4" s="49"/>
      <c r="E4" s="49"/>
      <c r="F4" s="49"/>
      <c r="G4" s="49"/>
      <c r="H4" s="49"/>
    </row>
    <row r="5" spans="1:8" x14ac:dyDescent="0.25">
      <c r="A5" s="49"/>
      <c r="B5" s="49"/>
      <c r="C5" s="49"/>
      <c r="D5" s="49"/>
      <c r="E5" s="49"/>
      <c r="F5" s="49"/>
      <c r="G5" s="49"/>
      <c r="H5" s="49"/>
    </row>
    <row r="6" spans="1:8" x14ac:dyDescent="0.25">
      <c r="A6" s="49"/>
      <c r="B6" s="49"/>
      <c r="C6" s="49"/>
      <c r="D6" s="49"/>
      <c r="E6" s="49"/>
      <c r="F6" s="49"/>
      <c r="G6" s="49"/>
      <c r="H6" s="49"/>
    </row>
    <row r="7" spans="1:8" x14ac:dyDescent="0.25">
      <c r="A7" s="49"/>
      <c r="B7" s="49"/>
      <c r="C7" s="49"/>
      <c r="D7" s="49"/>
      <c r="E7" s="49"/>
      <c r="F7" s="49"/>
      <c r="G7" s="49"/>
      <c r="H7" s="49"/>
    </row>
    <row r="8" spans="1:8" x14ac:dyDescent="0.25">
      <c r="A8" s="49"/>
      <c r="B8" s="49"/>
      <c r="C8" s="49"/>
      <c r="D8" s="49"/>
      <c r="E8" s="49"/>
      <c r="F8" s="49"/>
      <c r="G8" s="49"/>
      <c r="H8" s="49"/>
    </row>
    <row r="9" spans="1:8" ht="26.25" x14ac:dyDescent="0.4">
      <c r="A9" s="49"/>
      <c r="B9" s="49"/>
      <c r="C9" s="49"/>
      <c r="D9" s="51" t="s">
        <v>132</v>
      </c>
      <c r="E9" s="49"/>
      <c r="F9" s="49"/>
      <c r="G9" s="49"/>
      <c r="H9" s="49"/>
    </row>
    <row r="10" spans="1:8" x14ac:dyDescent="0.25">
      <c r="A10" s="49"/>
      <c r="B10" s="49"/>
      <c r="C10" s="49"/>
      <c r="D10" s="49"/>
      <c r="E10" s="49"/>
      <c r="F10" s="49"/>
      <c r="G10" s="49"/>
      <c r="H10" s="49"/>
    </row>
    <row r="11" spans="1:8" x14ac:dyDescent="0.25">
      <c r="A11" s="49"/>
      <c r="B11" s="49"/>
      <c r="C11" s="49"/>
      <c r="D11" s="49"/>
      <c r="E11" s="49"/>
      <c r="F11" s="49"/>
      <c r="G11" s="49"/>
      <c r="H11" s="49"/>
    </row>
    <row r="12" spans="1:8" x14ac:dyDescent="0.25">
      <c r="A12" s="49"/>
      <c r="B12" s="49"/>
      <c r="C12" s="49"/>
      <c r="D12" s="49"/>
      <c r="E12" s="49"/>
      <c r="F12" s="49"/>
      <c r="G12" s="49"/>
      <c r="H12" s="49"/>
    </row>
    <row r="13" spans="1:8" x14ac:dyDescent="0.25">
      <c r="A13" s="49"/>
      <c r="B13" s="49"/>
      <c r="C13" s="49"/>
      <c r="D13" s="49"/>
      <c r="E13" s="49"/>
      <c r="F13" s="49"/>
      <c r="G13" s="49"/>
      <c r="H13" s="49"/>
    </row>
    <row r="14" spans="1:8" x14ac:dyDescent="0.25">
      <c r="A14" s="49"/>
      <c r="B14" s="49"/>
      <c r="C14" s="49"/>
      <c r="D14" s="49"/>
      <c r="E14" s="49"/>
      <c r="F14" s="49"/>
      <c r="G14" s="49"/>
      <c r="H14" s="49"/>
    </row>
    <row r="15" spans="1:8" x14ac:dyDescent="0.25">
      <c r="A15" s="49"/>
      <c r="B15" s="49"/>
      <c r="C15" s="49"/>
      <c r="D15" s="49"/>
      <c r="E15" s="49"/>
      <c r="F15" s="49"/>
      <c r="G15" s="49"/>
      <c r="H15" s="49"/>
    </row>
    <row r="16" spans="1:8" x14ac:dyDescent="0.25">
      <c r="A16" s="49"/>
      <c r="B16" s="49"/>
      <c r="C16" s="49"/>
      <c r="D16" s="49"/>
      <c r="E16" s="49"/>
      <c r="F16" s="49"/>
      <c r="G16" s="49"/>
      <c r="H16" s="49"/>
    </row>
    <row r="17" spans="1:8" x14ac:dyDescent="0.25">
      <c r="A17" s="49"/>
      <c r="B17" s="49"/>
      <c r="C17" s="49"/>
      <c r="D17" s="49"/>
      <c r="E17" s="49"/>
      <c r="F17" s="49"/>
      <c r="G17" s="49"/>
      <c r="H17" s="49"/>
    </row>
    <row r="18" spans="1:8" x14ac:dyDescent="0.25">
      <c r="A18" s="49"/>
      <c r="B18" s="49"/>
      <c r="C18" s="49"/>
      <c r="D18" s="49"/>
      <c r="E18" s="49"/>
      <c r="F18" s="49"/>
      <c r="G18" s="49"/>
      <c r="H18" s="49"/>
    </row>
    <row r="19" spans="1:8" x14ac:dyDescent="0.25">
      <c r="A19" s="49"/>
      <c r="B19" s="49"/>
      <c r="C19" s="49"/>
      <c r="D19" s="49"/>
      <c r="E19" s="49"/>
      <c r="F19" s="49"/>
      <c r="G19" s="49"/>
      <c r="H19" s="4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67"/>
  <sheetViews>
    <sheetView zoomScaleNormal="100" workbookViewId="0"/>
  </sheetViews>
  <sheetFormatPr baseColWidth="10" defaultRowHeight="18" x14ac:dyDescent="0.25"/>
  <cols>
    <col min="1" max="1" width="13.5703125" style="1" bestFit="1" customWidth="1"/>
    <col min="2" max="2" width="16.85546875" style="1" bestFit="1" customWidth="1"/>
    <col min="3" max="3" width="72.42578125" style="1" bestFit="1" customWidth="1"/>
    <col min="4" max="4" width="15.7109375" style="1" bestFit="1" customWidth="1"/>
    <col min="5" max="5" width="28.42578125" style="1" bestFit="1" customWidth="1"/>
    <col min="6" max="6" width="14.85546875" style="1" bestFit="1" customWidth="1"/>
    <col min="7" max="7" width="13" style="1" bestFit="1" customWidth="1"/>
    <col min="8" max="9" width="11.5703125" style="1" bestFit="1" customWidth="1"/>
    <col min="10" max="10" width="20.85546875" style="1" customWidth="1"/>
    <col min="11" max="11" width="15.140625" style="5" bestFit="1" customWidth="1"/>
    <col min="12" max="12" width="16.85546875" style="1" bestFit="1" customWidth="1"/>
    <col min="13" max="13" width="20.42578125" style="1" bestFit="1" customWidth="1"/>
    <col min="14" max="14" width="7.85546875" style="1" bestFit="1" customWidth="1"/>
    <col min="15" max="15" width="12.85546875" style="1" bestFit="1" customWidth="1"/>
    <col min="16" max="16" width="13.42578125" style="1" bestFit="1" customWidth="1"/>
    <col min="17" max="17" width="27.28515625" style="1" bestFit="1" customWidth="1"/>
    <col min="18" max="18" width="21" style="1" bestFit="1" customWidth="1"/>
    <col min="19" max="19" width="54" style="3" bestFit="1" customWidth="1"/>
    <col min="20" max="20" width="25.42578125" style="1" bestFit="1" customWidth="1"/>
    <col min="21" max="21" width="13.140625" style="1" bestFit="1" customWidth="1"/>
    <col min="22" max="22" width="23" style="1" bestFit="1" customWidth="1"/>
    <col min="23" max="23" width="27.28515625" style="1" bestFit="1" customWidth="1"/>
    <col min="24" max="24" width="28.85546875" style="1" bestFit="1" customWidth="1"/>
    <col min="25" max="25" width="13.85546875" style="5" bestFit="1" customWidth="1"/>
    <col min="26" max="26" width="17.7109375" style="1" bestFit="1" customWidth="1"/>
    <col min="27" max="28" width="16.42578125" style="1" bestFit="1" customWidth="1"/>
    <col min="29" max="29" width="21.5703125" style="1" bestFit="1" customWidth="1"/>
    <col min="30" max="30" width="27.42578125" style="1" bestFit="1" customWidth="1"/>
    <col min="31" max="31" width="28" style="1" bestFit="1" customWidth="1"/>
    <col min="32" max="32" width="13.7109375" style="1" bestFit="1" customWidth="1"/>
    <col min="33" max="33" width="14.140625" style="1" bestFit="1" customWidth="1"/>
    <col min="34" max="35" width="22.140625" style="1" bestFit="1" customWidth="1"/>
    <col min="36" max="36" width="12" style="1" bestFit="1" customWidth="1"/>
    <col min="37" max="16384" width="11.42578125" style="1"/>
  </cols>
  <sheetData>
    <row r="3" spans="1:26" x14ac:dyDescent="0.25">
      <c r="C3" s="50" t="s">
        <v>131</v>
      </c>
    </row>
    <row r="5" spans="1:26" ht="18.7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7" t="s">
        <v>6</v>
      </c>
      <c r="H5" s="7" t="s">
        <v>97</v>
      </c>
      <c r="I5" s="7" t="s">
        <v>96</v>
      </c>
      <c r="J5" s="7" t="s">
        <v>116</v>
      </c>
      <c r="K5" s="7" t="s">
        <v>117</v>
      </c>
      <c r="L5" s="4" t="s">
        <v>7</v>
      </c>
      <c r="M5" s="2" t="s">
        <v>8</v>
      </c>
      <c r="N5" s="2" t="s">
        <v>61</v>
      </c>
      <c r="O5" s="2" t="s">
        <v>77</v>
      </c>
      <c r="P5" s="2" t="s">
        <v>62</v>
      </c>
      <c r="Q5" s="2" t="s">
        <v>78</v>
      </c>
      <c r="R5" s="6" t="s">
        <v>86</v>
      </c>
      <c r="S5" s="2" t="s">
        <v>9</v>
      </c>
      <c r="T5" s="2" t="s">
        <v>10</v>
      </c>
      <c r="U5" s="2" t="s">
        <v>87</v>
      </c>
      <c r="V5" s="2" t="s">
        <v>11</v>
      </c>
      <c r="W5" s="2" t="s">
        <v>41</v>
      </c>
      <c r="X5" s="4" t="s">
        <v>42</v>
      </c>
      <c r="Y5" s="2" t="s">
        <v>50</v>
      </c>
      <c r="Z5" s="2" t="s">
        <v>54</v>
      </c>
    </row>
    <row r="6" spans="1:26" x14ac:dyDescent="0.25">
      <c r="A6" s="31">
        <v>1002</v>
      </c>
      <c r="B6" s="31">
        <v>1600</v>
      </c>
      <c r="C6" s="31" t="s">
        <v>20</v>
      </c>
      <c r="D6" s="31">
        <v>5100</v>
      </c>
      <c r="E6" s="31" t="s">
        <v>44</v>
      </c>
      <c r="F6" s="31">
        <v>1601</v>
      </c>
      <c r="G6" s="32">
        <v>2</v>
      </c>
      <c r="H6" s="33">
        <v>599</v>
      </c>
      <c r="I6" s="33">
        <v>1198</v>
      </c>
      <c r="J6" s="33" t="str">
        <f>+IF(Tabla1[[#This Row],[Venta]]&gt;800,"Aplica p/ Bono",IF(Tabla1[[#This Row],[Venta]]=800,"Falta Poco","No pasa nada"))</f>
        <v>Aplica p/ Bono</v>
      </c>
      <c r="K6" s="32">
        <f>+IF(Tabla1[[#This Row],[Venta]]&gt;800,3,IF(Tabla1[[#This Row],[Venta]]=800,2,1))</f>
        <v>3</v>
      </c>
      <c r="L6" s="34">
        <v>43387</v>
      </c>
      <c r="M6" s="35">
        <v>43390</v>
      </c>
      <c r="N6" s="32">
        <v>10</v>
      </c>
      <c r="O6" s="31" t="s">
        <v>67</v>
      </c>
      <c r="P6" s="31" t="s">
        <v>68</v>
      </c>
      <c r="Q6" s="31" t="s">
        <v>81</v>
      </c>
      <c r="R6" s="32">
        <v>1000</v>
      </c>
      <c r="S6" s="31" t="s">
        <v>21</v>
      </c>
      <c r="T6" s="31" t="s">
        <v>22</v>
      </c>
      <c r="U6" s="31" t="s">
        <v>103</v>
      </c>
      <c r="V6" s="31">
        <v>1</v>
      </c>
      <c r="W6" s="32">
        <v>3</v>
      </c>
      <c r="X6" s="36">
        <v>1398</v>
      </c>
      <c r="Y6" s="31" t="s">
        <v>52</v>
      </c>
      <c r="Z6" s="31" t="s">
        <v>57</v>
      </c>
    </row>
    <row r="7" spans="1:26" x14ac:dyDescent="0.25">
      <c r="A7" s="31">
        <v>1002</v>
      </c>
      <c r="B7" s="31">
        <v>1700</v>
      </c>
      <c r="C7" s="31" t="s">
        <v>23</v>
      </c>
      <c r="D7" s="31">
        <v>5200</v>
      </c>
      <c r="E7" s="31" t="s">
        <v>45</v>
      </c>
      <c r="F7" s="31">
        <v>1702</v>
      </c>
      <c r="G7" s="32">
        <v>3</v>
      </c>
      <c r="H7" s="33">
        <v>899</v>
      </c>
      <c r="I7" s="33">
        <v>2697</v>
      </c>
      <c r="J7" s="33" t="str">
        <f>+IF(Tabla1[[#This Row],[Venta]]&gt;800,"Aplica p/ Bono",IF(Tabla1[[#This Row],[Venta]]=800,"Falta Poco","No pasa nada"))</f>
        <v>Aplica p/ Bono</v>
      </c>
      <c r="K7" s="32">
        <f>+IF(Tabla1[[#This Row],[Venta]]&gt;800,3,IF(Tabla1[[#This Row],[Venta]]=800,2,1))</f>
        <v>3</v>
      </c>
      <c r="L7" s="34">
        <v>43387</v>
      </c>
      <c r="M7" s="35">
        <v>43390</v>
      </c>
      <c r="N7" s="32">
        <v>10</v>
      </c>
      <c r="O7" s="31" t="s">
        <v>67</v>
      </c>
      <c r="P7" s="31" t="s">
        <v>68</v>
      </c>
      <c r="Q7" s="31" t="s">
        <v>81</v>
      </c>
      <c r="R7" s="32">
        <v>1000</v>
      </c>
      <c r="S7" s="31" t="s">
        <v>21</v>
      </c>
      <c r="T7" s="31" t="s">
        <v>22</v>
      </c>
      <c r="U7" s="31" t="s">
        <v>103</v>
      </c>
      <c r="V7" s="31">
        <v>1</v>
      </c>
      <c r="W7" s="32">
        <v>3</v>
      </c>
      <c r="X7" s="36">
        <v>1398</v>
      </c>
      <c r="Y7" s="31" t="s">
        <v>51</v>
      </c>
      <c r="Z7" s="31" t="s">
        <v>60</v>
      </c>
    </row>
    <row r="8" spans="1:26" x14ac:dyDescent="0.25">
      <c r="A8" s="31">
        <v>1000</v>
      </c>
      <c r="B8" s="31">
        <v>1300</v>
      </c>
      <c r="C8" s="31" t="s">
        <v>15</v>
      </c>
      <c r="D8" s="31">
        <v>5000</v>
      </c>
      <c r="E8" s="31" t="s">
        <v>43</v>
      </c>
      <c r="F8" s="31">
        <v>1301</v>
      </c>
      <c r="G8" s="32">
        <v>3</v>
      </c>
      <c r="H8" s="33">
        <v>999</v>
      </c>
      <c r="I8" s="33">
        <v>2997</v>
      </c>
      <c r="J8" s="33" t="str">
        <f>+IF(Tabla1[[#This Row],[Venta]]&gt;800,"Aplica p/ Bono",IF(Tabla1[[#This Row],[Venta]]=800,"Falta Poco","No pasa nada"))</f>
        <v>Aplica p/ Bono</v>
      </c>
      <c r="K8" s="32">
        <f>+IF(Tabla1[[#This Row],[Venta]]&gt;800,3,IF(Tabla1[[#This Row],[Venta]]=800,2,1))</f>
        <v>3</v>
      </c>
      <c r="L8" s="34">
        <v>43390</v>
      </c>
      <c r="M8" s="35">
        <v>43393</v>
      </c>
      <c r="N8" s="32">
        <v>10</v>
      </c>
      <c r="O8" s="31" t="s">
        <v>63</v>
      </c>
      <c r="P8" s="31" t="s">
        <v>64</v>
      </c>
      <c r="Q8" s="31" t="s">
        <v>79</v>
      </c>
      <c r="R8" s="32">
        <v>1000</v>
      </c>
      <c r="S8" s="31" t="s">
        <v>13</v>
      </c>
      <c r="T8" s="31" t="s">
        <v>14</v>
      </c>
      <c r="U8" s="31" t="s">
        <v>104</v>
      </c>
      <c r="V8" s="31">
        <v>1</v>
      </c>
      <c r="W8" s="32">
        <v>3</v>
      </c>
      <c r="X8" s="36">
        <v>1395</v>
      </c>
      <c r="Y8" s="31" t="s">
        <v>52</v>
      </c>
      <c r="Z8" s="31" t="s">
        <v>57</v>
      </c>
    </row>
    <row r="9" spans="1:26" x14ac:dyDescent="0.25">
      <c r="A9" s="31">
        <v>1004</v>
      </c>
      <c r="B9" s="31">
        <v>2100</v>
      </c>
      <c r="C9" s="31" t="s">
        <v>31</v>
      </c>
      <c r="D9" s="31">
        <v>5400</v>
      </c>
      <c r="E9" s="31" t="s">
        <v>47</v>
      </c>
      <c r="F9" s="31">
        <v>2102</v>
      </c>
      <c r="G9" s="32">
        <v>3</v>
      </c>
      <c r="H9" s="33">
        <v>1250</v>
      </c>
      <c r="I9" s="33">
        <v>3750</v>
      </c>
      <c r="J9" s="33" t="str">
        <f>+IF(Tabla1[[#This Row],[Venta]]&gt;800,"Aplica p/ Bono",IF(Tabla1[[#This Row],[Venta]]=800,"Falta Poco","No pasa nada"))</f>
        <v>Aplica p/ Bono</v>
      </c>
      <c r="K9" s="32">
        <f>+IF(Tabla1[[#This Row],[Venta]]&gt;800,3,IF(Tabla1[[#This Row],[Venta]]=800,2,1))</f>
        <v>3</v>
      </c>
      <c r="L9" s="34">
        <v>43389</v>
      </c>
      <c r="M9" s="35">
        <v>43392</v>
      </c>
      <c r="N9" s="32">
        <v>10</v>
      </c>
      <c r="O9" s="31" t="s">
        <v>71</v>
      </c>
      <c r="P9" s="31" t="s">
        <v>72</v>
      </c>
      <c r="Q9" s="31" t="s">
        <v>83</v>
      </c>
      <c r="R9" s="32">
        <v>1000</v>
      </c>
      <c r="S9" s="31" t="s">
        <v>29</v>
      </c>
      <c r="T9" s="31" t="s">
        <v>30</v>
      </c>
      <c r="U9" s="31" t="s">
        <v>105</v>
      </c>
      <c r="V9" s="31">
        <v>1</v>
      </c>
      <c r="W9" s="32">
        <v>3</v>
      </c>
      <c r="X9" s="36">
        <v>1396</v>
      </c>
      <c r="Y9" s="31" t="s">
        <v>53</v>
      </c>
      <c r="Z9" s="31" t="s">
        <v>59</v>
      </c>
    </row>
    <row r="10" spans="1:26" x14ac:dyDescent="0.25">
      <c r="A10" s="31">
        <v>1006</v>
      </c>
      <c r="B10" s="31">
        <v>2600</v>
      </c>
      <c r="C10" s="31" t="s">
        <v>40</v>
      </c>
      <c r="D10" s="31">
        <v>5600</v>
      </c>
      <c r="E10" s="31" t="s">
        <v>49</v>
      </c>
      <c r="F10" s="31">
        <v>2602</v>
      </c>
      <c r="G10" s="32">
        <v>1</v>
      </c>
      <c r="H10" s="33">
        <v>800</v>
      </c>
      <c r="I10" s="33">
        <v>800</v>
      </c>
      <c r="J10" s="33" t="str">
        <f>+IF(Tabla1[[#This Row],[Venta]]&gt;800,"Aplica p/ Bono",IF(Tabla1[[#This Row],[Venta]]=800,"Falta Poco","No pasa nada"))</f>
        <v>Falta Poco</v>
      </c>
      <c r="K10" s="32">
        <f>+IF(Tabla1[[#This Row],[Venta]]&gt;800,3,IF(Tabla1[[#This Row],[Venta]]=800,2,1))</f>
        <v>2</v>
      </c>
      <c r="L10" s="34">
        <v>43394</v>
      </c>
      <c r="M10" s="35">
        <v>43397</v>
      </c>
      <c r="N10" s="32">
        <v>10</v>
      </c>
      <c r="O10" s="31" t="s">
        <v>75</v>
      </c>
      <c r="P10" s="31" t="s">
        <v>76</v>
      </c>
      <c r="Q10" s="31" t="s">
        <v>85</v>
      </c>
      <c r="R10" s="32">
        <v>1000</v>
      </c>
      <c r="S10" s="31" t="s">
        <v>37</v>
      </c>
      <c r="T10" s="31" t="s">
        <v>38</v>
      </c>
      <c r="U10" s="31" t="s">
        <v>106</v>
      </c>
      <c r="V10" s="31">
        <v>1</v>
      </c>
      <c r="W10" s="32">
        <v>3</v>
      </c>
      <c r="X10" s="36">
        <v>1391</v>
      </c>
      <c r="Y10" s="31" t="s">
        <v>51</v>
      </c>
      <c r="Z10" s="31" t="s">
        <v>55</v>
      </c>
    </row>
    <row r="11" spans="1:26" x14ac:dyDescent="0.25">
      <c r="A11" s="31">
        <v>1004</v>
      </c>
      <c r="B11" s="31">
        <v>2200</v>
      </c>
      <c r="C11" s="31" t="s">
        <v>32</v>
      </c>
      <c r="D11" s="31">
        <v>5400</v>
      </c>
      <c r="E11" s="31" t="s">
        <v>47</v>
      </c>
      <c r="F11" s="31">
        <v>2202</v>
      </c>
      <c r="G11" s="32">
        <v>3</v>
      </c>
      <c r="H11" s="33">
        <v>600</v>
      </c>
      <c r="I11" s="33">
        <v>1800</v>
      </c>
      <c r="J11" s="33" t="str">
        <f>+IF(Tabla1[[#This Row],[Venta]]&gt;800,"Aplica p/ Bono",IF(Tabla1[[#This Row],[Venta]]=800,"Falta Poco","No pasa nada"))</f>
        <v>Aplica p/ Bono</v>
      </c>
      <c r="K11" s="32">
        <f>+IF(Tabla1[[#This Row],[Venta]]&gt;800,3,IF(Tabla1[[#This Row],[Venta]]=800,2,1))</f>
        <v>3</v>
      </c>
      <c r="L11" s="34">
        <v>43389</v>
      </c>
      <c r="M11" s="35">
        <v>43392</v>
      </c>
      <c r="N11" s="32">
        <v>10</v>
      </c>
      <c r="O11" s="31" t="s">
        <v>71</v>
      </c>
      <c r="P11" s="31" t="s">
        <v>72</v>
      </c>
      <c r="Q11" s="31" t="s">
        <v>83</v>
      </c>
      <c r="R11" s="32">
        <v>1000</v>
      </c>
      <c r="S11" s="31" t="s">
        <v>29</v>
      </c>
      <c r="T11" s="31" t="s">
        <v>30</v>
      </c>
      <c r="U11" s="31" t="s">
        <v>105</v>
      </c>
      <c r="V11" s="31">
        <v>1</v>
      </c>
      <c r="W11" s="32">
        <v>3</v>
      </c>
      <c r="X11" s="36">
        <v>1396</v>
      </c>
      <c r="Y11" s="31" t="s">
        <v>52</v>
      </c>
      <c r="Z11" s="31" t="s">
        <v>57</v>
      </c>
    </row>
    <row r="12" spans="1:26" x14ac:dyDescent="0.25">
      <c r="A12" s="31">
        <v>1000</v>
      </c>
      <c r="B12" s="31">
        <v>1300</v>
      </c>
      <c r="C12" s="31" t="s">
        <v>15</v>
      </c>
      <c r="D12" s="31">
        <v>5000</v>
      </c>
      <c r="E12" s="31" t="s">
        <v>43</v>
      </c>
      <c r="F12" s="31">
        <v>1302</v>
      </c>
      <c r="G12" s="32">
        <v>2</v>
      </c>
      <c r="H12" s="33">
        <v>999</v>
      </c>
      <c r="I12" s="33">
        <v>1998</v>
      </c>
      <c r="J12" s="33" t="str">
        <f>+IF(Tabla1[[#This Row],[Venta]]&gt;800,"Aplica p/ Bono",IF(Tabla1[[#This Row],[Venta]]=800,"Falta Poco","No pasa nada"))</f>
        <v>Aplica p/ Bono</v>
      </c>
      <c r="K12" s="32">
        <f>+IF(Tabla1[[#This Row],[Venta]]&gt;800,3,IF(Tabla1[[#This Row],[Venta]]=800,2,1))</f>
        <v>3</v>
      </c>
      <c r="L12" s="34">
        <v>43390</v>
      </c>
      <c r="M12" s="35">
        <v>43393</v>
      </c>
      <c r="N12" s="32">
        <v>10</v>
      </c>
      <c r="O12" s="31" t="s">
        <v>63</v>
      </c>
      <c r="P12" s="31" t="s">
        <v>64</v>
      </c>
      <c r="Q12" s="31" t="s">
        <v>79</v>
      </c>
      <c r="R12" s="32">
        <v>1000</v>
      </c>
      <c r="S12" s="31" t="s">
        <v>13</v>
      </c>
      <c r="T12" s="31" t="s">
        <v>14</v>
      </c>
      <c r="U12" s="31" t="s">
        <v>104</v>
      </c>
      <c r="V12" s="31">
        <v>1</v>
      </c>
      <c r="W12" s="32">
        <v>3</v>
      </c>
      <c r="X12" s="36">
        <v>1395</v>
      </c>
      <c r="Y12" s="31" t="s">
        <v>51</v>
      </c>
      <c r="Z12" s="31" t="s">
        <v>60</v>
      </c>
    </row>
    <row r="13" spans="1:26" x14ac:dyDescent="0.25">
      <c r="A13" s="31">
        <v>1004</v>
      </c>
      <c r="B13" s="31">
        <v>2200</v>
      </c>
      <c r="C13" s="31" t="s">
        <v>32</v>
      </c>
      <c r="D13" s="31">
        <v>5400</v>
      </c>
      <c r="E13" s="31" t="s">
        <v>47</v>
      </c>
      <c r="F13" s="31">
        <v>2201</v>
      </c>
      <c r="G13" s="32">
        <v>2</v>
      </c>
      <c r="H13" s="33">
        <v>600</v>
      </c>
      <c r="I13" s="33">
        <v>1200</v>
      </c>
      <c r="J13" s="33" t="str">
        <f>+IF(Tabla1[[#This Row],[Venta]]&gt;800,"Aplica p/ Bono",IF(Tabla1[[#This Row],[Venta]]=800,"Falta Poco","No pasa nada"))</f>
        <v>Aplica p/ Bono</v>
      </c>
      <c r="K13" s="32">
        <f>+IF(Tabla1[[#This Row],[Venta]]&gt;800,3,IF(Tabla1[[#This Row],[Venta]]=800,2,1))</f>
        <v>3</v>
      </c>
      <c r="L13" s="34">
        <v>43389</v>
      </c>
      <c r="M13" s="35">
        <v>43392</v>
      </c>
      <c r="N13" s="32">
        <v>10</v>
      </c>
      <c r="O13" s="31" t="s">
        <v>71</v>
      </c>
      <c r="P13" s="31" t="s">
        <v>72</v>
      </c>
      <c r="Q13" s="31" t="s">
        <v>83</v>
      </c>
      <c r="R13" s="32">
        <v>1000</v>
      </c>
      <c r="S13" s="31" t="s">
        <v>29</v>
      </c>
      <c r="T13" s="31" t="s">
        <v>30</v>
      </c>
      <c r="U13" s="31" t="s">
        <v>105</v>
      </c>
      <c r="V13" s="31">
        <v>1</v>
      </c>
      <c r="W13" s="32">
        <v>3</v>
      </c>
      <c r="X13" s="36">
        <v>1396</v>
      </c>
      <c r="Y13" s="31" t="s">
        <v>52</v>
      </c>
      <c r="Z13" s="31" t="s">
        <v>57</v>
      </c>
    </row>
    <row r="14" spans="1:26" x14ac:dyDescent="0.25">
      <c r="A14" s="31">
        <v>1006</v>
      </c>
      <c r="B14" s="31">
        <v>2400</v>
      </c>
      <c r="C14" s="31" t="s">
        <v>36</v>
      </c>
      <c r="D14" s="31">
        <v>5500</v>
      </c>
      <c r="E14" s="31" t="s">
        <v>48</v>
      </c>
      <c r="F14" s="31">
        <v>2402</v>
      </c>
      <c r="G14" s="32">
        <v>2</v>
      </c>
      <c r="H14" s="33">
        <v>10</v>
      </c>
      <c r="I14" s="33">
        <v>20</v>
      </c>
      <c r="J14" s="33" t="str">
        <f>+IF(Tabla1[[#This Row],[Venta]]&gt;800,"Aplica p/ Bono",IF(Tabla1[[#This Row],[Venta]]=800,"Falta Poco","No pasa nada"))</f>
        <v>No pasa nada</v>
      </c>
      <c r="K14" s="32">
        <f>+IF(Tabla1[[#This Row],[Venta]]&gt;800,3,IF(Tabla1[[#This Row],[Venta]]=800,2,1))</f>
        <v>1</v>
      </c>
      <c r="L14" s="34">
        <v>43394</v>
      </c>
      <c r="M14" s="35">
        <v>43397</v>
      </c>
      <c r="N14" s="32">
        <v>10</v>
      </c>
      <c r="O14" s="31" t="s">
        <v>75</v>
      </c>
      <c r="P14" s="31" t="s">
        <v>76</v>
      </c>
      <c r="Q14" s="31" t="s">
        <v>85</v>
      </c>
      <c r="R14" s="32">
        <v>1000</v>
      </c>
      <c r="S14" s="31" t="s">
        <v>37</v>
      </c>
      <c r="T14" s="31" t="s">
        <v>38</v>
      </c>
      <c r="U14" s="31" t="s">
        <v>106</v>
      </c>
      <c r="V14" s="31">
        <v>1</v>
      </c>
      <c r="W14" s="32">
        <v>3</v>
      </c>
      <c r="X14" s="36">
        <v>1391</v>
      </c>
      <c r="Y14" s="31" t="s">
        <v>53</v>
      </c>
      <c r="Z14" s="31" t="s">
        <v>59</v>
      </c>
    </row>
    <row r="15" spans="1:26" x14ac:dyDescent="0.25">
      <c r="A15" s="31">
        <v>1006</v>
      </c>
      <c r="B15" s="31">
        <v>2500</v>
      </c>
      <c r="C15" s="31" t="s">
        <v>39</v>
      </c>
      <c r="D15" s="31">
        <v>5600</v>
      </c>
      <c r="E15" s="31" t="s">
        <v>49</v>
      </c>
      <c r="F15" s="31">
        <v>2501</v>
      </c>
      <c r="G15" s="32">
        <v>3</v>
      </c>
      <c r="H15" s="33">
        <v>250</v>
      </c>
      <c r="I15" s="33">
        <v>750</v>
      </c>
      <c r="J15" s="33" t="str">
        <f>+IF(Tabla1[[#This Row],[Venta]]&gt;800,"Aplica p/ Bono",IF(Tabla1[[#This Row],[Venta]]=800,"Falta Poco","No pasa nada"))</f>
        <v>No pasa nada</v>
      </c>
      <c r="K15" s="32">
        <f>+IF(Tabla1[[#This Row],[Venta]]&gt;800,3,IF(Tabla1[[#This Row],[Venta]]=800,2,1))</f>
        <v>1</v>
      </c>
      <c r="L15" s="34">
        <v>43394</v>
      </c>
      <c r="M15" s="35">
        <v>43397</v>
      </c>
      <c r="N15" s="32">
        <v>10</v>
      </c>
      <c r="O15" s="31" t="s">
        <v>75</v>
      </c>
      <c r="P15" s="31" t="s">
        <v>76</v>
      </c>
      <c r="Q15" s="31" t="s">
        <v>85</v>
      </c>
      <c r="R15" s="32">
        <v>1000</v>
      </c>
      <c r="S15" s="31" t="s">
        <v>37</v>
      </c>
      <c r="T15" s="31" t="s">
        <v>38</v>
      </c>
      <c r="U15" s="31" t="s">
        <v>106</v>
      </c>
      <c r="V15" s="31">
        <v>1</v>
      </c>
      <c r="W15" s="32">
        <v>3</v>
      </c>
      <c r="X15" s="36">
        <v>1391</v>
      </c>
      <c r="Y15" s="31" t="s">
        <v>52</v>
      </c>
      <c r="Z15" s="31" t="s">
        <v>57</v>
      </c>
    </row>
    <row r="16" spans="1:26" x14ac:dyDescent="0.25">
      <c r="A16" s="31">
        <v>1006</v>
      </c>
      <c r="B16" s="31">
        <v>2500</v>
      </c>
      <c r="C16" s="31" t="s">
        <v>39</v>
      </c>
      <c r="D16" s="31">
        <v>5600</v>
      </c>
      <c r="E16" s="31" t="s">
        <v>49</v>
      </c>
      <c r="F16" s="31">
        <v>2502</v>
      </c>
      <c r="G16" s="32">
        <v>1</v>
      </c>
      <c r="H16" s="33">
        <v>250</v>
      </c>
      <c r="I16" s="33">
        <v>250</v>
      </c>
      <c r="J16" s="33" t="str">
        <f>+IF(Tabla1[[#This Row],[Venta]]&gt;800,"Aplica p/ Bono",IF(Tabla1[[#This Row],[Venta]]=800,"Falta Poco","No pasa nada"))</f>
        <v>No pasa nada</v>
      </c>
      <c r="K16" s="32">
        <f>+IF(Tabla1[[#This Row],[Venta]]&gt;800,3,IF(Tabla1[[#This Row],[Venta]]=800,2,1))</f>
        <v>1</v>
      </c>
      <c r="L16" s="34">
        <v>43394</v>
      </c>
      <c r="M16" s="35">
        <v>43397</v>
      </c>
      <c r="N16" s="32">
        <v>10</v>
      </c>
      <c r="O16" s="31" t="s">
        <v>75</v>
      </c>
      <c r="P16" s="31" t="s">
        <v>76</v>
      </c>
      <c r="Q16" s="31" t="s">
        <v>85</v>
      </c>
      <c r="R16" s="32">
        <v>1000</v>
      </c>
      <c r="S16" s="31" t="s">
        <v>37</v>
      </c>
      <c r="T16" s="31" t="s">
        <v>38</v>
      </c>
      <c r="U16" s="31" t="s">
        <v>106</v>
      </c>
      <c r="V16" s="31">
        <v>1</v>
      </c>
      <c r="W16" s="32">
        <v>3</v>
      </c>
      <c r="X16" s="36">
        <v>1391</v>
      </c>
      <c r="Y16" s="31" t="s">
        <v>52</v>
      </c>
      <c r="Z16" s="31" t="s">
        <v>56</v>
      </c>
    </row>
    <row r="17" spans="1:26" x14ac:dyDescent="0.25">
      <c r="A17" s="31">
        <v>1001</v>
      </c>
      <c r="B17" s="31">
        <v>1400</v>
      </c>
      <c r="C17" s="31" t="s">
        <v>16</v>
      </c>
      <c r="D17" s="31">
        <v>5100</v>
      </c>
      <c r="E17" s="31" t="s">
        <v>44</v>
      </c>
      <c r="F17" s="31">
        <v>1401</v>
      </c>
      <c r="G17" s="32">
        <v>1</v>
      </c>
      <c r="H17" s="33">
        <v>799</v>
      </c>
      <c r="I17" s="33">
        <v>799</v>
      </c>
      <c r="J17" s="33" t="str">
        <f>+IF(Tabla1[[#This Row],[Venta]]&gt;800,"Aplica p/ Bono",IF(Tabla1[[#This Row],[Venta]]=800,"Falta Poco","No pasa nada"))</f>
        <v>No pasa nada</v>
      </c>
      <c r="K17" s="32">
        <f>+IF(Tabla1[[#This Row],[Venta]]&gt;800,3,IF(Tabla1[[#This Row],[Venta]]=800,2,1))</f>
        <v>1</v>
      </c>
      <c r="L17" s="34">
        <v>43388</v>
      </c>
      <c r="M17" s="35">
        <v>43391</v>
      </c>
      <c r="N17" s="32">
        <v>10</v>
      </c>
      <c r="O17" s="31" t="s">
        <v>65</v>
      </c>
      <c r="P17" s="31" t="s">
        <v>66</v>
      </c>
      <c r="Q17" s="31" t="s">
        <v>80</v>
      </c>
      <c r="R17" s="32">
        <v>1000</v>
      </c>
      <c r="S17" s="31" t="s">
        <v>17</v>
      </c>
      <c r="T17" s="31" t="s">
        <v>18</v>
      </c>
      <c r="U17" s="31" t="s">
        <v>107</v>
      </c>
      <c r="V17" s="31">
        <v>0</v>
      </c>
      <c r="W17" s="32">
        <v>3</v>
      </c>
      <c r="X17" s="36">
        <v>1397</v>
      </c>
      <c r="Y17" s="31" t="s">
        <v>51</v>
      </c>
      <c r="Z17" s="31" t="s">
        <v>55</v>
      </c>
    </row>
    <row r="18" spans="1:26" x14ac:dyDescent="0.25">
      <c r="A18" s="31">
        <v>1005</v>
      </c>
      <c r="B18" s="31">
        <v>2300</v>
      </c>
      <c r="C18" s="31" t="s">
        <v>33</v>
      </c>
      <c r="D18" s="31">
        <v>5500</v>
      </c>
      <c r="E18" s="31" t="s">
        <v>48</v>
      </c>
      <c r="F18" s="31">
        <v>2302</v>
      </c>
      <c r="G18" s="32">
        <v>1</v>
      </c>
      <c r="H18" s="33">
        <v>15</v>
      </c>
      <c r="I18" s="33">
        <v>15</v>
      </c>
      <c r="J18" s="33" t="str">
        <f>+IF(Tabla1[[#This Row],[Venta]]&gt;800,"Aplica p/ Bono",IF(Tabla1[[#This Row],[Venta]]=800,"Falta Poco","No pasa nada"))</f>
        <v>No pasa nada</v>
      </c>
      <c r="K18" s="32">
        <f>+IF(Tabla1[[#This Row],[Venta]]&gt;800,3,IF(Tabla1[[#This Row],[Venta]]=800,2,1))</f>
        <v>1</v>
      </c>
      <c r="L18" s="34">
        <v>43386</v>
      </c>
      <c r="M18" s="35">
        <v>43389</v>
      </c>
      <c r="N18" s="32">
        <v>10</v>
      </c>
      <c r="O18" s="31" t="s">
        <v>73</v>
      </c>
      <c r="P18" s="31" t="s">
        <v>74</v>
      </c>
      <c r="Q18" s="31" t="s">
        <v>84</v>
      </c>
      <c r="R18" s="32">
        <v>1000</v>
      </c>
      <c r="S18" s="31" t="s">
        <v>34</v>
      </c>
      <c r="T18" s="31" t="s">
        <v>35</v>
      </c>
      <c r="U18" s="31" t="s">
        <v>108</v>
      </c>
      <c r="V18" s="31">
        <v>0</v>
      </c>
      <c r="W18" s="32">
        <v>3</v>
      </c>
      <c r="X18" s="36">
        <v>1399</v>
      </c>
      <c r="Y18" s="31" t="s">
        <v>52</v>
      </c>
      <c r="Z18" s="31" t="s">
        <v>56</v>
      </c>
    </row>
    <row r="19" spans="1:26" x14ac:dyDescent="0.25">
      <c r="A19" s="31">
        <v>1000</v>
      </c>
      <c r="B19" s="31">
        <v>1200</v>
      </c>
      <c r="C19" s="31" t="s">
        <v>12</v>
      </c>
      <c r="D19" s="31">
        <v>5000</v>
      </c>
      <c r="E19" s="31" t="s">
        <v>43</v>
      </c>
      <c r="F19" s="31">
        <v>1201</v>
      </c>
      <c r="G19" s="32">
        <v>2</v>
      </c>
      <c r="H19" s="33">
        <v>1299</v>
      </c>
      <c r="I19" s="33">
        <v>2598</v>
      </c>
      <c r="J19" s="33" t="str">
        <f>+IF(Tabla1[[#This Row],[Venta]]&gt;800,"Aplica p/ Bono",IF(Tabla1[[#This Row],[Venta]]=800,"Falta Poco","No pasa nada"))</f>
        <v>Aplica p/ Bono</v>
      </c>
      <c r="K19" s="32">
        <f>+IF(Tabla1[[#This Row],[Venta]]&gt;800,3,IF(Tabla1[[#This Row],[Venta]]=800,2,1))</f>
        <v>3</v>
      </c>
      <c r="L19" s="34">
        <v>43390</v>
      </c>
      <c r="M19" s="35">
        <v>43393</v>
      </c>
      <c r="N19" s="32">
        <v>10</v>
      </c>
      <c r="O19" s="31" t="s">
        <v>63</v>
      </c>
      <c r="P19" s="31" t="s">
        <v>64</v>
      </c>
      <c r="Q19" s="31" t="s">
        <v>79</v>
      </c>
      <c r="R19" s="32">
        <v>1000</v>
      </c>
      <c r="S19" s="31" t="s">
        <v>13</v>
      </c>
      <c r="T19" s="31" t="s">
        <v>14</v>
      </c>
      <c r="U19" s="31" t="s">
        <v>104</v>
      </c>
      <c r="V19" s="31">
        <v>1</v>
      </c>
      <c r="W19" s="32">
        <v>3</v>
      </c>
      <c r="X19" s="36">
        <v>1395</v>
      </c>
      <c r="Y19" s="31" t="s">
        <v>53</v>
      </c>
      <c r="Z19" s="31" t="s">
        <v>59</v>
      </c>
    </row>
    <row r="20" spans="1:26" x14ac:dyDescent="0.25">
      <c r="A20" s="31">
        <v>1004</v>
      </c>
      <c r="B20" s="31">
        <v>2000</v>
      </c>
      <c r="C20" s="31" t="s">
        <v>28</v>
      </c>
      <c r="D20" s="31">
        <v>5300</v>
      </c>
      <c r="E20" s="31" t="s">
        <v>46</v>
      </c>
      <c r="F20" s="31">
        <v>2002</v>
      </c>
      <c r="G20" s="32">
        <v>3</v>
      </c>
      <c r="H20" s="33">
        <v>450</v>
      </c>
      <c r="I20" s="33">
        <v>1350</v>
      </c>
      <c r="J20" s="33" t="str">
        <f>+IF(Tabla1[[#This Row],[Venta]]&gt;800,"Aplica p/ Bono",IF(Tabla1[[#This Row],[Venta]]=800,"Falta Poco","No pasa nada"))</f>
        <v>Aplica p/ Bono</v>
      </c>
      <c r="K20" s="32">
        <f>+IF(Tabla1[[#This Row],[Venta]]&gt;800,3,IF(Tabla1[[#This Row],[Venta]]=800,2,1))</f>
        <v>3</v>
      </c>
      <c r="L20" s="34">
        <v>43389</v>
      </c>
      <c r="M20" s="35">
        <v>43392</v>
      </c>
      <c r="N20" s="32">
        <v>10</v>
      </c>
      <c r="O20" s="31" t="s">
        <v>71</v>
      </c>
      <c r="P20" s="31" t="s">
        <v>72</v>
      </c>
      <c r="Q20" s="31" t="s">
        <v>83</v>
      </c>
      <c r="R20" s="32">
        <v>1000</v>
      </c>
      <c r="S20" s="31" t="s">
        <v>29</v>
      </c>
      <c r="T20" s="31" t="s">
        <v>30</v>
      </c>
      <c r="U20" s="31" t="s">
        <v>105</v>
      </c>
      <c r="V20" s="31">
        <v>1</v>
      </c>
      <c r="W20" s="32">
        <v>3</v>
      </c>
      <c r="X20" s="36">
        <v>1396</v>
      </c>
      <c r="Y20" s="31" t="s">
        <v>52</v>
      </c>
      <c r="Z20" s="31" t="s">
        <v>56</v>
      </c>
    </row>
    <row r="21" spans="1:26" x14ac:dyDescent="0.25">
      <c r="A21" s="31">
        <v>1003</v>
      </c>
      <c r="B21" s="31">
        <v>1800</v>
      </c>
      <c r="C21" s="31" t="s">
        <v>24</v>
      </c>
      <c r="D21" s="31">
        <v>5200</v>
      </c>
      <c r="E21" s="31" t="s">
        <v>45</v>
      </c>
      <c r="F21" s="31">
        <v>1801</v>
      </c>
      <c r="G21" s="32">
        <v>1</v>
      </c>
      <c r="H21" s="33">
        <v>499</v>
      </c>
      <c r="I21" s="33">
        <v>499</v>
      </c>
      <c r="J21" s="33" t="str">
        <f>+IF(Tabla1[[#This Row],[Venta]]&gt;800,"Aplica p/ Bono",IF(Tabla1[[#This Row],[Venta]]=800,"Falta Poco","No pasa nada"))</f>
        <v>No pasa nada</v>
      </c>
      <c r="K21" s="32">
        <f>+IF(Tabla1[[#This Row],[Venta]]&gt;800,3,IF(Tabla1[[#This Row],[Venta]]=800,2,1))</f>
        <v>1</v>
      </c>
      <c r="L21" s="34">
        <v>43385</v>
      </c>
      <c r="M21" s="35">
        <v>43388</v>
      </c>
      <c r="N21" s="32">
        <v>10</v>
      </c>
      <c r="O21" s="31" t="s">
        <v>69</v>
      </c>
      <c r="P21" s="31" t="s">
        <v>70</v>
      </c>
      <c r="Q21" s="31" t="s">
        <v>82</v>
      </c>
      <c r="R21" s="32">
        <v>1000</v>
      </c>
      <c r="S21" s="31" t="s">
        <v>25</v>
      </c>
      <c r="T21" s="31" t="s">
        <v>26</v>
      </c>
      <c r="U21" s="31" t="s">
        <v>109</v>
      </c>
      <c r="V21" s="31">
        <v>0</v>
      </c>
      <c r="W21" s="32">
        <v>3</v>
      </c>
      <c r="X21" s="36">
        <v>1400</v>
      </c>
      <c r="Y21" s="31" t="s">
        <v>51</v>
      </c>
      <c r="Z21" s="31" t="s">
        <v>55</v>
      </c>
    </row>
    <row r="22" spans="1:26" x14ac:dyDescent="0.25">
      <c r="A22" s="31">
        <v>1000</v>
      </c>
      <c r="B22" s="31">
        <v>1200</v>
      </c>
      <c r="C22" s="31" t="s">
        <v>12</v>
      </c>
      <c r="D22" s="31">
        <v>5000</v>
      </c>
      <c r="E22" s="31" t="s">
        <v>43</v>
      </c>
      <c r="F22" s="31">
        <v>1202</v>
      </c>
      <c r="G22" s="32">
        <v>1</v>
      </c>
      <c r="H22" s="33">
        <v>1299</v>
      </c>
      <c r="I22" s="33">
        <v>1299</v>
      </c>
      <c r="J22" s="33" t="str">
        <f>+IF(Tabla1[[#This Row],[Venta]]&gt;800,"Aplica p/ Bono",IF(Tabla1[[#This Row],[Venta]]=800,"Falta Poco","No pasa nada"))</f>
        <v>Aplica p/ Bono</v>
      </c>
      <c r="K22" s="32">
        <f>+IF(Tabla1[[#This Row],[Venta]]&gt;800,3,IF(Tabla1[[#This Row],[Venta]]=800,2,1))</f>
        <v>3</v>
      </c>
      <c r="L22" s="34">
        <v>43390</v>
      </c>
      <c r="M22" s="35">
        <v>43393</v>
      </c>
      <c r="N22" s="32">
        <v>10</v>
      </c>
      <c r="O22" s="31" t="s">
        <v>63</v>
      </c>
      <c r="P22" s="31" t="s">
        <v>64</v>
      </c>
      <c r="Q22" s="31" t="s">
        <v>79</v>
      </c>
      <c r="R22" s="32">
        <v>1000</v>
      </c>
      <c r="S22" s="31" t="s">
        <v>13</v>
      </c>
      <c r="T22" s="31" t="s">
        <v>14</v>
      </c>
      <c r="U22" s="31" t="s">
        <v>104</v>
      </c>
      <c r="V22" s="31">
        <v>1</v>
      </c>
      <c r="W22" s="32">
        <v>3</v>
      </c>
      <c r="X22" s="36">
        <v>1395</v>
      </c>
      <c r="Y22" s="31" t="s">
        <v>52</v>
      </c>
      <c r="Z22" s="31" t="s">
        <v>56</v>
      </c>
    </row>
    <row r="23" spans="1:26" x14ac:dyDescent="0.25">
      <c r="A23" s="31">
        <v>1003</v>
      </c>
      <c r="B23" s="31">
        <v>1800</v>
      </c>
      <c r="C23" s="31" t="s">
        <v>24</v>
      </c>
      <c r="D23" s="31">
        <v>5200</v>
      </c>
      <c r="E23" s="31" t="s">
        <v>45</v>
      </c>
      <c r="F23" s="31">
        <v>1802</v>
      </c>
      <c r="G23" s="32">
        <v>2</v>
      </c>
      <c r="H23" s="33">
        <v>499</v>
      </c>
      <c r="I23" s="33">
        <v>998</v>
      </c>
      <c r="J23" s="33" t="str">
        <f>+IF(Tabla1[[#This Row],[Venta]]&gt;800,"Aplica p/ Bono",IF(Tabla1[[#This Row],[Venta]]=800,"Falta Poco","No pasa nada"))</f>
        <v>Aplica p/ Bono</v>
      </c>
      <c r="K23" s="32">
        <f>+IF(Tabla1[[#This Row],[Venta]]&gt;800,3,IF(Tabla1[[#This Row],[Venta]]=800,2,1))</f>
        <v>3</v>
      </c>
      <c r="L23" s="34">
        <v>43385</v>
      </c>
      <c r="M23" s="35">
        <v>43388</v>
      </c>
      <c r="N23" s="32">
        <v>10</v>
      </c>
      <c r="O23" s="31" t="s">
        <v>69</v>
      </c>
      <c r="P23" s="31" t="s">
        <v>70</v>
      </c>
      <c r="Q23" s="31" t="s">
        <v>82</v>
      </c>
      <c r="R23" s="32">
        <v>1000</v>
      </c>
      <c r="S23" s="31" t="s">
        <v>25</v>
      </c>
      <c r="T23" s="31" t="s">
        <v>26</v>
      </c>
      <c r="U23" s="31" t="s">
        <v>109</v>
      </c>
      <c r="V23" s="31">
        <v>0</v>
      </c>
      <c r="W23" s="32">
        <v>3</v>
      </c>
      <c r="X23" s="36">
        <v>1400</v>
      </c>
      <c r="Y23" s="31" t="s">
        <v>52</v>
      </c>
      <c r="Z23" s="31" t="s">
        <v>57</v>
      </c>
    </row>
    <row r="24" spans="1:26" x14ac:dyDescent="0.25">
      <c r="A24" s="31">
        <v>1004</v>
      </c>
      <c r="B24" s="31">
        <v>2100</v>
      </c>
      <c r="C24" s="31" t="s">
        <v>31</v>
      </c>
      <c r="D24" s="31">
        <v>5400</v>
      </c>
      <c r="E24" s="31" t="s">
        <v>47</v>
      </c>
      <c r="F24" s="31">
        <v>2101</v>
      </c>
      <c r="G24" s="32">
        <v>1</v>
      </c>
      <c r="H24" s="33">
        <v>1250</v>
      </c>
      <c r="I24" s="33">
        <v>1250</v>
      </c>
      <c r="J24" s="33" t="str">
        <f>+IF(Tabla1[[#This Row],[Venta]]&gt;800,"Aplica p/ Bono",IF(Tabla1[[#This Row],[Venta]]=800,"Falta Poco","No pasa nada"))</f>
        <v>Aplica p/ Bono</v>
      </c>
      <c r="K24" s="32">
        <f>+IF(Tabla1[[#This Row],[Venta]]&gt;800,3,IF(Tabla1[[#This Row],[Venta]]=800,2,1))</f>
        <v>3</v>
      </c>
      <c r="L24" s="34">
        <v>43389</v>
      </c>
      <c r="M24" s="35">
        <v>43392</v>
      </c>
      <c r="N24" s="32">
        <v>10</v>
      </c>
      <c r="O24" s="31" t="s">
        <v>71</v>
      </c>
      <c r="P24" s="31" t="s">
        <v>72</v>
      </c>
      <c r="Q24" s="31" t="s">
        <v>83</v>
      </c>
      <c r="R24" s="32">
        <v>1000</v>
      </c>
      <c r="S24" s="31" t="s">
        <v>29</v>
      </c>
      <c r="T24" s="31" t="s">
        <v>30</v>
      </c>
      <c r="U24" s="31" t="s">
        <v>105</v>
      </c>
      <c r="V24" s="31">
        <v>1</v>
      </c>
      <c r="W24" s="32">
        <v>3</v>
      </c>
      <c r="X24" s="36">
        <v>1396</v>
      </c>
      <c r="Y24" s="31" t="s">
        <v>53</v>
      </c>
      <c r="Z24" s="31" t="s">
        <v>58</v>
      </c>
    </row>
    <row r="25" spans="1:26" x14ac:dyDescent="0.25">
      <c r="A25" s="31">
        <v>1001</v>
      </c>
      <c r="B25" s="31">
        <v>1500</v>
      </c>
      <c r="C25" s="31" t="s">
        <v>19</v>
      </c>
      <c r="D25" s="31">
        <v>5100</v>
      </c>
      <c r="E25" s="31" t="s">
        <v>44</v>
      </c>
      <c r="F25" s="31">
        <v>1502</v>
      </c>
      <c r="G25" s="32">
        <v>3</v>
      </c>
      <c r="H25" s="33">
        <v>399</v>
      </c>
      <c r="I25" s="33">
        <v>1197</v>
      </c>
      <c r="J25" s="33" t="str">
        <f>+IF(Tabla1[[#This Row],[Venta]]&gt;800,"Aplica p/ Bono",IF(Tabla1[[#This Row],[Venta]]=800,"Falta Poco","No pasa nada"))</f>
        <v>Aplica p/ Bono</v>
      </c>
      <c r="K25" s="32">
        <f>+IF(Tabla1[[#This Row],[Venta]]&gt;800,3,IF(Tabla1[[#This Row],[Venta]]=800,2,1))</f>
        <v>3</v>
      </c>
      <c r="L25" s="34">
        <v>43388</v>
      </c>
      <c r="M25" s="35">
        <v>43391</v>
      </c>
      <c r="N25" s="32">
        <v>10</v>
      </c>
      <c r="O25" s="31" t="s">
        <v>65</v>
      </c>
      <c r="P25" s="31" t="s">
        <v>66</v>
      </c>
      <c r="Q25" s="31" t="s">
        <v>80</v>
      </c>
      <c r="R25" s="32">
        <v>1000</v>
      </c>
      <c r="S25" s="31" t="s">
        <v>17</v>
      </c>
      <c r="T25" s="31" t="s">
        <v>18</v>
      </c>
      <c r="U25" s="31" t="s">
        <v>107</v>
      </c>
      <c r="V25" s="31">
        <v>0</v>
      </c>
      <c r="W25" s="32">
        <v>3</v>
      </c>
      <c r="X25" s="36">
        <v>1397</v>
      </c>
      <c r="Y25" s="31" t="s">
        <v>52</v>
      </c>
      <c r="Z25" s="31" t="s">
        <v>56</v>
      </c>
    </row>
    <row r="26" spans="1:26" x14ac:dyDescent="0.25">
      <c r="A26" s="31">
        <v>1005</v>
      </c>
      <c r="B26" s="31">
        <v>2400</v>
      </c>
      <c r="C26" s="31" t="s">
        <v>36</v>
      </c>
      <c r="D26" s="31">
        <v>5500</v>
      </c>
      <c r="E26" s="31" t="s">
        <v>48</v>
      </c>
      <c r="F26" s="31">
        <v>2401</v>
      </c>
      <c r="G26" s="32">
        <v>3</v>
      </c>
      <c r="H26" s="33">
        <v>10</v>
      </c>
      <c r="I26" s="33">
        <v>30</v>
      </c>
      <c r="J26" s="33" t="str">
        <f>+IF(Tabla1[[#This Row],[Venta]]&gt;800,"Aplica p/ Bono",IF(Tabla1[[#This Row],[Venta]]=800,"Falta Poco","No pasa nada"))</f>
        <v>No pasa nada</v>
      </c>
      <c r="K26" s="32">
        <f>+IF(Tabla1[[#This Row],[Venta]]&gt;800,3,IF(Tabla1[[#This Row],[Venta]]=800,2,1))</f>
        <v>1</v>
      </c>
      <c r="L26" s="34">
        <v>43386</v>
      </c>
      <c r="M26" s="35">
        <v>43389</v>
      </c>
      <c r="N26" s="32">
        <v>10</v>
      </c>
      <c r="O26" s="31" t="s">
        <v>73</v>
      </c>
      <c r="P26" s="31" t="s">
        <v>74</v>
      </c>
      <c r="Q26" s="31" t="s">
        <v>84</v>
      </c>
      <c r="R26" s="32">
        <v>1000</v>
      </c>
      <c r="S26" s="31" t="s">
        <v>34</v>
      </c>
      <c r="T26" s="31" t="s">
        <v>35</v>
      </c>
      <c r="U26" s="31" t="s">
        <v>108</v>
      </c>
      <c r="V26" s="31">
        <v>0</v>
      </c>
      <c r="W26" s="32">
        <v>3</v>
      </c>
      <c r="X26" s="36">
        <v>1399</v>
      </c>
      <c r="Y26" s="31" t="s">
        <v>53</v>
      </c>
      <c r="Z26" s="31" t="s">
        <v>59</v>
      </c>
    </row>
    <row r="27" spans="1:26" x14ac:dyDescent="0.25">
      <c r="A27" s="31">
        <v>1004</v>
      </c>
      <c r="B27" s="31">
        <v>2000</v>
      </c>
      <c r="C27" s="31" t="s">
        <v>28</v>
      </c>
      <c r="D27" s="31">
        <v>5300</v>
      </c>
      <c r="E27" s="31" t="s">
        <v>46</v>
      </c>
      <c r="F27" s="31">
        <v>2001</v>
      </c>
      <c r="G27" s="32">
        <v>2</v>
      </c>
      <c r="H27" s="33">
        <v>450</v>
      </c>
      <c r="I27" s="33">
        <v>900</v>
      </c>
      <c r="J27" s="33" t="str">
        <f>+IF(Tabla1[[#This Row],[Venta]]&gt;800,"Aplica p/ Bono",IF(Tabla1[[#This Row],[Venta]]=800,"Falta Poco","No pasa nada"))</f>
        <v>Aplica p/ Bono</v>
      </c>
      <c r="K27" s="32">
        <f>+IF(Tabla1[[#This Row],[Venta]]&gt;800,3,IF(Tabla1[[#This Row],[Venta]]=800,2,1))</f>
        <v>3</v>
      </c>
      <c r="L27" s="34">
        <v>43389</v>
      </c>
      <c r="M27" s="35">
        <v>43392</v>
      </c>
      <c r="N27" s="32">
        <v>10</v>
      </c>
      <c r="O27" s="31" t="s">
        <v>71</v>
      </c>
      <c r="P27" s="31" t="s">
        <v>72</v>
      </c>
      <c r="Q27" s="31" t="s">
        <v>83</v>
      </c>
      <c r="R27" s="32">
        <v>1000</v>
      </c>
      <c r="S27" s="31" t="s">
        <v>29</v>
      </c>
      <c r="T27" s="31" t="s">
        <v>30</v>
      </c>
      <c r="U27" s="31" t="s">
        <v>105</v>
      </c>
      <c r="V27" s="31">
        <v>1</v>
      </c>
      <c r="W27" s="32">
        <v>3</v>
      </c>
      <c r="X27" s="36">
        <v>1396</v>
      </c>
      <c r="Y27" s="31" t="s">
        <v>51</v>
      </c>
      <c r="Z27" s="31" t="s">
        <v>55</v>
      </c>
    </row>
    <row r="28" spans="1:26" x14ac:dyDescent="0.25">
      <c r="A28" s="31">
        <v>1001</v>
      </c>
      <c r="B28" s="31">
        <v>1400</v>
      </c>
      <c r="C28" s="31" t="s">
        <v>16</v>
      </c>
      <c r="D28" s="31">
        <v>5100</v>
      </c>
      <c r="E28" s="31" t="s">
        <v>44</v>
      </c>
      <c r="F28" s="31">
        <v>1402</v>
      </c>
      <c r="G28" s="32">
        <v>1</v>
      </c>
      <c r="H28" s="33">
        <v>799</v>
      </c>
      <c r="I28" s="33">
        <v>799</v>
      </c>
      <c r="J28" s="33" t="str">
        <f>+IF(Tabla1[[#This Row],[Venta]]&gt;800,"Aplica p/ Bono",IF(Tabla1[[#This Row],[Venta]]=800,"Falta Poco","No pasa nada"))</f>
        <v>No pasa nada</v>
      </c>
      <c r="K28" s="32">
        <f>+IF(Tabla1[[#This Row],[Venta]]&gt;800,3,IF(Tabla1[[#This Row],[Venta]]=800,2,1))</f>
        <v>1</v>
      </c>
      <c r="L28" s="34">
        <v>43388</v>
      </c>
      <c r="M28" s="35">
        <v>43391</v>
      </c>
      <c r="N28" s="32">
        <v>10</v>
      </c>
      <c r="O28" s="31" t="s">
        <v>65</v>
      </c>
      <c r="P28" s="31" t="s">
        <v>66</v>
      </c>
      <c r="Q28" s="31" t="s">
        <v>80</v>
      </c>
      <c r="R28" s="32">
        <v>1000</v>
      </c>
      <c r="S28" s="31" t="s">
        <v>17</v>
      </c>
      <c r="T28" s="31" t="s">
        <v>18</v>
      </c>
      <c r="U28" s="31" t="s">
        <v>107</v>
      </c>
      <c r="V28" s="31">
        <v>0</v>
      </c>
      <c r="W28" s="32">
        <v>3</v>
      </c>
      <c r="X28" s="36">
        <v>1397</v>
      </c>
      <c r="Y28" s="31" t="s">
        <v>51</v>
      </c>
      <c r="Z28" s="31" t="s">
        <v>60</v>
      </c>
    </row>
    <row r="29" spans="1:26" x14ac:dyDescent="0.25">
      <c r="A29" s="31">
        <v>1001</v>
      </c>
      <c r="B29" s="31">
        <v>1500</v>
      </c>
      <c r="C29" s="31" t="s">
        <v>19</v>
      </c>
      <c r="D29" s="31">
        <v>5100</v>
      </c>
      <c r="E29" s="31" t="s">
        <v>44</v>
      </c>
      <c r="F29" s="31">
        <v>1501</v>
      </c>
      <c r="G29" s="32">
        <v>2</v>
      </c>
      <c r="H29" s="33">
        <v>399</v>
      </c>
      <c r="I29" s="33">
        <v>798</v>
      </c>
      <c r="J29" s="33" t="str">
        <f>+IF(Tabla1[[#This Row],[Venta]]&gt;800,"Aplica p/ Bono",IF(Tabla1[[#This Row],[Venta]]=800,"Falta Poco","No pasa nada"))</f>
        <v>No pasa nada</v>
      </c>
      <c r="K29" s="32">
        <f>+IF(Tabla1[[#This Row],[Venta]]&gt;800,3,IF(Tabla1[[#This Row],[Venta]]=800,2,1))</f>
        <v>1</v>
      </c>
      <c r="L29" s="34">
        <v>43388</v>
      </c>
      <c r="M29" s="35">
        <v>43391</v>
      </c>
      <c r="N29" s="32">
        <v>10</v>
      </c>
      <c r="O29" s="31" t="s">
        <v>65</v>
      </c>
      <c r="P29" s="31" t="s">
        <v>66</v>
      </c>
      <c r="Q29" s="31" t="s">
        <v>80</v>
      </c>
      <c r="R29" s="32">
        <v>1000</v>
      </c>
      <c r="S29" s="31" t="s">
        <v>17</v>
      </c>
      <c r="T29" s="31" t="s">
        <v>18</v>
      </c>
      <c r="U29" s="31" t="s">
        <v>107</v>
      </c>
      <c r="V29" s="31">
        <v>0</v>
      </c>
      <c r="W29" s="32">
        <v>3</v>
      </c>
      <c r="X29" s="36">
        <v>1397</v>
      </c>
      <c r="Y29" s="31" t="s">
        <v>52</v>
      </c>
      <c r="Z29" s="31" t="s">
        <v>57</v>
      </c>
    </row>
    <row r="30" spans="1:26" x14ac:dyDescent="0.25">
      <c r="A30" s="31">
        <v>1002</v>
      </c>
      <c r="B30" s="31">
        <v>1700</v>
      </c>
      <c r="C30" s="31" t="s">
        <v>23</v>
      </c>
      <c r="D30" s="31">
        <v>5200</v>
      </c>
      <c r="E30" s="31" t="s">
        <v>45</v>
      </c>
      <c r="F30" s="31">
        <v>1701</v>
      </c>
      <c r="G30" s="32">
        <v>1</v>
      </c>
      <c r="H30" s="33">
        <v>899</v>
      </c>
      <c r="I30" s="33">
        <v>899</v>
      </c>
      <c r="J30" s="33" t="str">
        <f>+IF(Tabla1[[#This Row],[Venta]]&gt;800,"Aplica p/ Bono",IF(Tabla1[[#This Row],[Venta]]=800,"Falta Poco","No pasa nada"))</f>
        <v>Aplica p/ Bono</v>
      </c>
      <c r="K30" s="32">
        <f>+IF(Tabla1[[#This Row],[Venta]]&gt;800,3,IF(Tabla1[[#This Row],[Venta]]=800,2,1))</f>
        <v>3</v>
      </c>
      <c r="L30" s="34">
        <v>43387</v>
      </c>
      <c r="M30" s="35">
        <v>43390</v>
      </c>
      <c r="N30" s="32">
        <v>10</v>
      </c>
      <c r="O30" s="31" t="s">
        <v>67</v>
      </c>
      <c r="P30" s="31" t="s">
        <v>68</v>
      </c>
      <c r="Q30" s="31" t="s">
        <v>81</v>
      </c>
      <c r="R30" s="32">
        <v>1000</v>
      </c>
      <c r="S30" s="31" t="s">
        <v>21</v>
      </c>
      <c r="T30" s="31" t="s">
        <v>22</v>
      </c>
      <c r="U30" s="31" t="s">
        <v>103</v>
      </c>
      <c r="V30" s="31">
        <v>1</v>
      </c>
      <c r="W30" s="32">
        <v>3</v>
      </c>
      <c r="X30" s="36">
        <v>1398</v>
      </c>
      <c r="Y30" s="31" t="s">
        <v>51</v>
      </c>
      <c r="Z30" s="31" t="s">
        <v>60</v>
      </c>
    </row>
    <row r="31" spans="1:26" x14ac:dyDescent="0.25">
      <c r="A31" s="31">
        <v>1003</v>
      </c>
      <c r="B31" s="31">
        <v>1900</v>
      </c>
      <c r="C31" s="31" t="s">
        <v>27</v>
      </c>
      <c r="D31" s="31">
        <v>5300</v>
      </c>
      <c r="E31" s="31" t="s">
        <v>46</v>
      </c>
      <c r="F31" s="31">
        <v>1901</v>
      </c>
      <c r="G31" s="32">
        <v>1</v>
      </c>
      <c r="H31" s="33">
        <v>650</v>
      </c>
      <c r="I31" s="33">
        <v>650</v>
      </c>
      <c r="J31" s="33" t="str">
        <f>+IF(Tabla1[[#This Row],[Venta]]&gt;800,"Aplica p/ Bono",IF(Tabla1[[#This Row],[Venta]]=800,"Falta Poco","No pasa nada"))</f>
        <v>No pasa nada</v>
      </c>
      <c r="K31" s="32">
        <f>+IF(Tabla1[[#This Row],[Venta]]&gt;800,3,IF(Tabla1[[#This Row],[Venta]]=800,2,1))</f>
        <v>1</v>
      </c>
      <c r="L31" s="34">
        <v>43385</v>
      </c>
      <c r="M31" s="35">
        <v>43388</v>
      </c>
      <c r="N31" s="32">
        <v>10</v>
      </c>
      <c r="O31" s="31" t="s">
        <v>69</v>
      </c>
      <c r="P31" s="31" t="s">
        <v>70</v>
      </c>
      <c r="Q31" s="31" t="s">
        <v>82</v>
      </c>
      <c r="R31" s="32">
        <v>1000</v>
      </c>
      <c r="S31" s="31" t="s">
        <v>25</v>
      </c>
      <c r="T31" s="31" t="s">
        <v>26</v>
      </c>
      <c r="U31" s="31" t="s">
        <v>109</v>
      </c>
      <c r="V31" s="31">
        <v>0</v>
      </c>
      <c r="W31" s="32">
        <v>3</v>
      </c>
      <c r="X31" s="36">
        <v>1400</v>
      </c>
      <c r="Y31" s="31" t="s">
        <v>53</v>
      </c>
      <c r="Z31" s="31" t="s">
        <v>58</v>
      </c>
    </row>
    <row r="32" spans="1:26" x14ac:dyDescent="0.25">
      <c r="A32" s="31">
        <v>1002</v>
      </c>
      <c r="B32" s="31">
        <v>1600</v>
      </c>
      <c r="C32" s="31" t="s">
        <v>20</v>
      </c>
      <c r="D32" s="31">
        <v>5100</v>
      </c>
      <c r="E32" s="31" t="s">
        <v>44</v>
      </c>
      <c r="F32" s="31">
        <v>1602</v>
      </c>
      <c r="G32" s="32">
        <v>1</v>
      </c>
      <c r="H32" s="33">
        <v>599</v>
      </c>
      <c r="I32" s="33">
        <v>599</v>
      </c>
      <c r="J32" s="33" t="str">
        <f>+IF(Tabla1[[#This Row],[Venta]]&gt;800,"Aplica p/ Bono",IF(Tabla1[[#This Row],[Venta]]=800,"Falta Poco","No pasa nada"))</f>
        <v>No pasa nada</v>
      </c>
      <c r="K32" s="32">
        <f>+IF(Tabla1[[#This Row],[Venta]]&gt;800,3,IF(Tabla1[[#This Row],[Venta]]=800,2,1))</f>
        <v>1</v>
      </c>
      <c r="L32" s="34">
        <v>43387</v>
      </c>
      <c r="M32" s="35">
        <v>43390</v>
      </c>
      <c r="N32" s="32">
        <v>10</v>
      </c>
      <c r="O32" s="31" t="s">
        <v>67</v>
      </c>
      <c r="P32" s="31" t="s">
        <v>68</v>
      </c>
      <c r="Q32" s="31" t="s">
        <v>81</v>
      </c>
      <c r="R32" s="32">
        <v>1000</v>
      </c>
      <c r="S32" s="31" t="s">
        <v>21</v>
      </c>
      <c r="T32" s="31" t="s">
        <v>22</v>
      </c>
      <c r="U32" s="31" t="s">
        <v>103</v>
      </c>
      <c r="V32" s="31">
        <v>1</v>
      </c>
      <c r="W32" s="32">
        <v>3</v>
      </c>
      <c r="X32" s="36">
        <v>1398</v>
      </c>
      <c r="Y32" s="31" t="s">
        <v>52</v>
      </c>
      <c r="Z32" s="31" t="s">
        <v>57</v>
      </c>
    </row>
    <row r="33" spans="1:26" x14ac:dyDescent="0.25">
      <c r="A33" s="31">
        <v>1006</v>
      </c>
      <c r="B33" s="31">
        <v>2600</v>
      </c>
      <c r="C33" s="31" t="s">
        <v>40</v>
      </c>
      <c r="D33" s="31">
        <v>5600</v>
      </c>
      <c r="E33" s="31" t="s">
        <v>49</v>
      </c>
      <c r="F33" s="31">
        <v>2601</v>
      </c>
      <c r="G33" s="32">
        <v>2</v>
      </c>
      <c r="H33" s="33">
        <v>800</v>
      </c>
      <c r="I33" s="33">
        <v>1600</v>
      </c>
      <c r="J33" s="33" t="str">
        <f>+IF(Tabla1[[#This Row],[Venta]]&gt;800,"Aplica p/ Bono",IF(Tabla1[[#This Row],[Venta]]=800,"Falta Poco","No pasa nada"))</f>
        <v>Aplica p/ Bono</v>
      </c>
      <c r="K33" s="32">
        <f>+IF(Tabla1[[#This Row],[Venta]]&gt;800,3,IF(Tabla1[[#This Row],[Venta]]=800,2,1))</f>
        <v>3</v>
      </c>
      <c r="L33" s="34">
        <v>43394</v>
      </c>
      <c r="M33" s="35">
        <v>43397</v>
      </c>
      <c r="N33" s="32">
        <v>10</v>
      </c>
      <c r="O33" s="31" t="s">
        <v>75</v>
      </c>
      <c r="P33" s="31" t="s">
        <v>76</v>
      </c>
      <c r="Q33" s="31" t="s">
        <v>85</v>
      </c>
      <c r="R33" s="32">
        <v>1000</v>
      </c>
      <c r="S33" s="31" t="s">
        <v>37</v>
      </c>
      <c r="T33" s="31" t="s">
        <v>38</v>
      </c>
      <c r="U33" s="31" t="s">
        <v>106</v>
      </c>
      <c r="V33" s="31">
        <v>1</v>
      </c>
      <c r="W33" s="32">
        <v>3</v>
      </c>
      <c r="X33" s="36">
        <v>1391</v>
      </c>
      <c r="Y33" s="31" t="s">
        <v>53</v>
      </c>
      <c r="Z33" s="31" t="s">
        <v>58</v>
      </c>
    </row>
    <row r="34" spans="1:26" x14ac:dyDescent="0.25">
      <c r="A34" s="31">
        <v>1003</v>
      </c>
      <c r="B34" s="31">
        <v>1900</v>
      </c>
      <c r="C34" s="31" t="s">
        <v>27</v>
      </c>
      <c r="D34" s="31">
        <v>5300</v>
      </c>
      <c r="E34" s="31" t="s">
        <v>46</v>
      </c>
      <c r="F34" s="31">
        <v>1902</v>
      </c>
      <c r="G34" s="32">
        <v>2</v>
      </c>
      <c r="H34" s="33">
        <v>650</v>
      </c>
      <c r="I34" s="33">
        <v>1300</v>
      </c>
      <c r="J34" s="33" t="str">
        <f>+IF(Tabla1[[#This Row],[Venta]]&gt;800,"Aplica p/ Bono",IF(Tabla1[[#This Row],[Venta]]=800,"Falta Poco","No pasa nada"))</f>
        <v>Aplica p/ Bono</v>
      </c>
      <c r="K34" s="32">
        <f>+IF(Tabla1[[#This Row],[Venta]]&gt;800,3,IF(Tabla1[[#This Row],[Venta]]=800,2,1))</f>
        <v>3</v>
      </c>
      <c r="L34" s="34">
        <v>43385</v>
      </c>
      <c r="M34" s="35">
        <v>43388</v>
      </c>
      <c r="N34" s="32">
        <v>10</v>
      </c>
      <c r="O34" s="31" t="s">
        <v>69</v>
      </c>
      <c r="P34" s="31" t="s">
        <v>70</v>
      </c>
      <c r="Q34" s="31" t="s">
        <v>82</v>
      </c>
      <c r="R34" s="32">
        <v>1000</v>
      </c>
      <c r="S34" s="31" t="s">
        <v>25</v>
      </c>
      <c r="T34" s="31" t="s">
        <v>26</v>
      </c>
      <c r="U34" s="31" t="s">
        <v>109</v>
      </c>
      <c r="V34" s="31">
        <v>0</v>
      </c>
      <c r="W34" s="32">
        <v>3</v>
      </c>
      <c r="X34" s="36">
        <v>1400</v>
      </c>
      <c r="Y34" s="31" t="s">
        <v>52</v>
      </c>
      <c r="Z34" s="31" t="s">
        <v>57</v>
      </c>
    </row>
    <row r="35" spans="1:26" x14ac:dyDescent="0.25">
      <c r="A35" s="31">
        <v>1005</v>
      </c>
      <c r="B35" s="31">
        <v>2300</v>
      </c>
      <c r="C35" s="31" t="s">
        <v>33</v>
      </c>
      <c r="D35" s="31">
        <v>5500</v>
      </c>
      <c r="E35" s="31" t="s">
        <v>48</v>
      </c>
      <c r="F35" s="31">
        <v>2301</v>
      </c>
      <c r="G35" s="32">
        <v>1</v>
      </c>
      <c r="H35" s="33">
        <v>15</v>
      </c>
      <c r="I35" s="33">
        <v>15</v>
      </c>
      <c r="J35" s="33" t="str">
        <f>+IF(Tabla1[[#This Row],[Venta]]&gt;800,"Aplica p/ Bono",IF(Tabla1[[#This Row],[Venta]]=800,"Falta Poco","No pasa nada"))</f>
        <v>No pasa nada</v>
      </c>
      <c r="K35" s="32">
        <f>+IF(Tabla1[[#This Row],[Venta]]&gt;800,3,IF(Tabla1[[#This Row],[Venta]]=800,2,1))</f>
        <v>1</v>
      </c>
      <c r="L35" s="34">
        <v>43386</v>
      </c>
      <c r="M35" s="35">
        <v>43389</v>
      </c>
      <c r="N35" s="32">
        <v>10</v>
      </c>
      <c r="O35" s="31" t="s">
        <v>73</v>
      </c>
      <c r="P35" s="31" t="s">
        <v>74</v>
      </c>
      <c r="Q35" s="31" t="s">
        <v>84</v>
      </c>
      <c r="R35" s="32">
        <v>1000</v>
      </c>
      <c r="S35" s="31" t="s">
        <v>34</v>
      </c>
      <c r="T35" s="31" t="s">
        <v>35</v>
      </c>
      <c r="U35" s="31" t="s">
        <v>108</v>
      </c>
      <c r="V35" s="31">
        <v>0</v>
      </c>
      <c r="W35" s="32">
        <v>3</v>
      </c>
      <c r="X35" s="36">
        <v>1399</v>
      </c>
      <c r="Y35" s="31" t="s">
        <v>51</v>
      </c>
      <c r="Z35" s="31" t="s">
        <v>60</v>
      </c>
    </row>
    <row r="42" spans="1:26" ht="19.5" thickBot="1" x14ac:dyDescent="0.3">
      <c r="F42" s="29" t="s">
        <v>100</v>
      </c>
      <c r="G42" s="29" t="s">
        <v>110</v>
      </c>
      <c r="H42" s="29" t="s">
        <v>111</v>
      </c>
      <c r="I42" s="30" t="s">
        <v>112</v>
      </c>
      <c r="K42" s="1"/>
    </row>
    <row r="43" spans="1:26" ht="18.75" thickTop="1" x14ac:dyDescent="0.25">
      <c r="F43" s="22" t="s">
        <v>44</v>
      </c>
      <c r="G43" s="23">
        <v>0.3</v>
      </c>
      <c r="H43" s="24" cm="1">
        <f t="array" ref="H43">+SUMIF(Proveedores,F43,Ventas)</f>
        <v>5390</v>
      </c>
      <c r="I43" s="25">
        <f>+H43*G43</f>
        <v>1617</v>
      </c>
      <c r="K43" s="1"/>
    </row>
    <row r="44" spans="1:26" x14ac:dyDescent="0.25">
      <c r="F44" s="22" t="s">
        <v>43</v>
      </c>
      <c r="G44" s="23">
        <v>2.5000000000000001E-2</v>
      </c>
      <c r="H44" s="24" cm="1">
        <f t="array" ref="H44">+SUMIF(Proveedores,F44,Ventas)</f>
        <v>8892</v>
      </c>
      <c r="I44" s="24">
        <f t="shared" ref="I44:I49" si="0">+H44*G44</f>
        <v>222.3</v>
      </c>
      <c r="K44" s="1"/>
    </row>
    <row r="45" spans="1:26" x14ac:dyDescent="0.25">
      <c r="F45" s="22" t="s">
        <v>47</v>
      </c>
      <c r="G45" s="23">
        <v>0.15</v>
      </c>
      <c r="H45" s="24" cm="1">
        <f t="array" ref="H45">+SUMIF(Proveedores,F45,Ventas)</f>
        <v>8000</v>
      </c>
      <c r="I45" s="25">
        <f t="shared" si="0"/>
        <v>1200</v>
      </c>
      <c r="K45" s="1" t="s">
        <v>113</v>
      </c>
    </row>
    <row r="46" spans="1:26" x14ac:dyDescent="0.25">
      <c r="F46" s="22" t="s">
        <v>48</v>
      </c>
      <c r="G46" s="23">
        <v>2.5000000000000001E-2</v>
      </c>
      <c r="H46" s="24" cm="1">
        <f t="array" ref="H46">+SUMIF(Proveedores,F46,Ventas)</f>
        <v>80</v>
      </c>
      <c r="I46" s="24">
        <f t="shared" si="0"/>
        <v>2</v>
      </c>
      <c r="K46" s="12">
        <f>+SUMPRODUCT(Tabla3[Peso],Tabla3[Ventas])</f>
        <v>5289.2</v>
      </c>
    </row>
    <row r="47" spans="1:26" x14ac:dyDescent="0.25">
      <c r="F47" s="22" t="s">
        <v>49</v>
      </c>
      <c r="G47" s="23">
        <v>0.15</v>
      </c>
      <c r="H47" s="24" cm="1">
        <f t="array" ref="H47">+SUMIF(Proveedores,F47,Ventas)</f>
        <v>3400</v>
      </c>
      <c r="I47" s="25">
        <f t="shared" si="0"/>
        <v>510</v>
      </c>
      <c r="K47" s="1"/>
    </row>
    <row r="48" spans="1:26" x14ac:dyDescent="0.25">
      <c r="F48" s="22" t="s">
        <v>46</v>
      </c>
      <c r="G48" s="23">
        <v>0.05</v>
      </c>
      <c r="H48" s="24" cm="1">
        <f t="array" ref="H48">+SUMIF(Proveedores,F48,Ventas)</f>
        <v>4200</v>
      </c>
      <c r="I48" s="24">
        <f t="shared" si="0"/>
        <v>210</v>
      </c>
      <c r="K48" s="1"/>
    </row>
    <row r="49" spans="6:14" x14ac:dyDescent="0.25">
      <c r="F49" s="26" t="s">
        <v>45</v>
      </c>
      <c r="G49" s="27">
        <v>0.3</v>
      </c>
      <c r="H49" s="28" cm="1">
        <f t="array" ref="H49">+SUMIF(Proveedores,F49,Ventas)</f>
        <v>5093</v>
      </c>
      <c r="I49" s="25">
        <f t="shared" si="0"/>
        <v>1527.8999999999999</v>
      </c>
      <c r="K49" s="1"/>
    </row>
    <row r="50" spans="6:14" x14ac:dyDescent="0.25">
      <c r="F50" s="3"/>
      <c r="H50" s="12">
        <f>AVERAGE(H43:H49)</f>
        <v>5007.8571428571431</v>
      </c>
      <c r="I50" s="12">
        <f>+SUM(I43:I49)</f>
        <v>5289.2</v>
      </c>
      <c r="K50" s="1"/>
    </row>
    <row r="51" spans="6:14" x14ac:dyDescent="0.25">
      <c r="K51" s="1"/>
    </row>
    <row r="52" spans="6:14" ht="18.75" x14ac:dyDescent="0.25">
      <c r="F52" s="2" t="s">
        <v>100</v>
      </c>
      <c r="G52" s="2" t="s">
        <v>101</v>
      </c>
      <c r="H52" s="2" t="s">
        <v>102</v>
      </c>
      <c r="K52" s="1"/>
    </row>
    <row r="53" spans="6:14" x14ac:dyDescent="0.25">
      <c r="F53" s="1" t="s">
        <v>44</v>
      </c>
      <c r="G53" s="15">
        <f>+SUMIF(Tabla1[nombre_proveedor],"Microsoft",Tabla1[Venta])</f>
        <v>5390</v>
      </c>
      <c r="H53" s="15">
        <f>AVERAGEIF(Tabla1[nombre_proveedor],"Microsoft",Tabla1[Venta])</f>
        <v>898.33333333333337</v>
      </c>
      <c r="K53" s="1"/>
    </row>
    <row r="54" spans="6:14" x14ac:dyDescent="0.25">
      <c r="F54" s="1" t="s">
        <v>43</v>
      </c>
      <c r="G54" s="15">
        <f>+SUMIF(Tabla1[nombre_proveedor],"Apple",Tabla1[Venta])</f>
        <v>8892</v>
      </c>
      <c r="H54" s="15">
        <f>AVERAGEIF(Tabla1[nombre_proveedor],"Apple",Tabla1[Venta])</f>
        <v>2223</v>
      </c>
      <c r="K54" s="1"/>
    </row>
    <row r="55" spans="6:14" x14ac:dyDescent="0.25">
      <c r="F55" s="1" t="s">
        <v>47</v>
      </c>
      <c r="G55" s="15">
        <f>+SUMIF(Tabla1[nombre_proveedor],"Dell",Tabla1[Venta])</f>
        <v>8000</v>
      </c>
      <c r="H55" s="15">
        <f>AVERAGEIF(Tabla1[nombre_proveedor],"Dell",Tabla1[Venta])</f>
        <v>2000</v>
      </c>
      <c r="K55" s="1"/>
    </row>
    <row r="56" spans="6:14" x14ac:dyDescent="0.25">
      <c r="F56" s="1" t="s">
        <v>48</v>
      </c>
      <c r="G56" s="15">
        <f>+SUMIF(Tabla1[nombre_proveedor],"Monoprice",Tabla1[Venta])</f>
        <v>80</v>
      </c>
      <c r="H56" s="15">
        <f>AVERAGEIF(Tabla1[nombre_proveedor],"Monoprice",Tabla1[Venta])</f>
        <v>20</v>
      </c>
      <c r="K56" s="1"/>
    </row>
    <row r="57" spans="6:14" x14ac:dyDescent="0.25">
      <c r="F57" s="1" t="s">
        <v>49</v>
      </c>
      <c r="G57" s="15">
        <f>+SUMIF(Tabla1[nombre_proveedor],"Sony",Tabla1[Venta])</f>
        <v>3400</v>
      </c>
      <c r="H57" s="15">
        <f>AVERAGEIF(Tabla1[nombre_proveedor],"Sony",Tabla1[Venta])</f>
        <v>850</v>
      </c>
      <c r="K57" s="1"/>
    </row>
    <row r="58" spans="6:14" x14ac:dyDescent="0.25">
      <c r="F58" s="1" t="s">
        <v>46</v>
      </c>
      <c r="G58" s="15">
        <f>+SUMIF(Tabla1[nombre_proveedor],"Asus",Tabla1[Venta])</f>
        <v>4200</v>
      </c>
      <c r="H58" s="15">
        <f>AVERAGEIF(Tabla1[nombre_proveedor],"Asus",Tabla1[Venta])</f>
        <v>1050</v>
      </c>
      <c r="K58" s="1"/>
    </row>
    <row r="59" spans="6:14" x14ac:dyDescent="0.25">
      <c r="F59" s="1" t="s">
        <v>45</v>
      </c>
      <c r="G59" s="15">
        <f>+SUMIF(Tabla1[nombre_proveedor],"Lenovo",Tabla1[Venta])</f>
        <v>5093</v>
      </c>
      <c r="H59" s="15">
        <f>AVERAGEIF(Tabla1[nombre_proveedor],"Lenovo",Tabla1[Venta])</f>
        <v>1273.25</v>
      </c>
      <c r="K59" s="1"/>
    </row>
    <row r="60" spans="6:14" x14ac:dyDescent="0.25">
      <c r="K60" s="1"/>
    </row>
    <row r="61" spans="6:14" x14ac:dyDescent="0.25">
      <c r="K61" s="1"/>
    </row>
    <row r="62" spans="6:14" x14ac:dyDescent="0.25">
      <c r="K62" s="1"/>
    </row>
    <row r="63" spans="6:14" x14ac:dyDescent="0.25">
      <c r="F63" s="16" t="s">
        <v>91</v>
      </c>
      <c r="G63" s="8"/>
      <c r="I63" s="17" t="s">
        <v>92</v>
      </c>
      <c r="J63" s="19" t="s">
        <v>94</v>
      </c>
      <c r="K63" s="19" t="s">
        <v>95</v>
      </c>
      <c r="M63" s="19" t="s">
        <v>94</v>
      </c>
      <c r="N63" s="19" t="s">
        <v>95</v>
      </c>
    </row>
    <row r="64" spans="6:14" x14ac:dyDescent="0.25">
      <c r="F64" s="18" t="s">
        <v>88</v>
      </c>
      <c r="G64" s="8">
        <f>SUM(Tabla1[quantity])</f>
        <v>56</v>
      </c>
      <c r="I64" s="14" t="s">
        <v>93</v>
      </c>
      <c r="J64" s="11">
        <f>SUMIF(Tabla1[nombre_proveedor],"Apple",Tabla1[quantity])</f>
        <v>8</v>
      </c>
      <c r="K64" s="13">
        <f>SUMIF(Tabla1[nombre_proveedor],"Apple",Tabla1[Venta])</f>
        <v>8892</v>
      </c>
      <c r="M64" s="1" cm="1">
        <f t="array" ref="M64">+SUMIF(Proveedores,"Apple",Cantidad)</f>
        <v>8</v>
      </c>
      <c r="N64" s="21" cm="1">
        <f t="array" ref="N64">+SUMIF(Proveedores,"Apple",Ventas)</f>
        <v>8892</v>
      </c>
    </row>
    <row r="65" spans="6:14" x14ac:dyDescent="0.25">
      <c r="F65" s="18" t="s">
        <v>89</v>
      </c>
      <c r="G65" s="9">
        <f>AVERAGE(Tabla1[quantity])</f>
        <v>1.8666666666666667</v>
      </c>
      <c r="I65" s="14" t="s">
        <v>99</v>
      </c>
      <c r="J65" s="8">
        <f>AVERAGEIF(Tabla1[nombre_proveedor],"Dell",Tabla1[quantity])</f>
        <v>2.25</v>
      </c>
      <c r="K65" s="10">
        <f>AVERAGEIF(Tabla1[nombre_proveedor],"Dell",Tabla1[Venta])</f>
        <v>2000</v>
      </c>
      <c r="M65" s="8" cm="1">
        <f t="array" ref="M65">AVERAGEIF(Proveedores,"Dell",Cantidad)</f>
        <v>2.25</v>
      </c>
      <c r="N65" s="20" cm="1">
        <f t="array" ref="N65">AVERAGEIF(Proveedores,"Dell",Ventas)</f>
        <v>2000</v>
      </c>
    </row>
    <row r="66" spans="6:14" x14ac:dyDescent="0.25">
      <c r="F66" s="18" t="s">
        <v>90</v>
      </c>
      <c r="G66" s="8">
        <f>COUNT(Tabla1[quantity])</f>
        <v>30</v>
      </c>
      <c r="I66" s="14" t="s">
        <v>98</v>
      </c>
      <c r="J66" s="8">
        <f>COUNTIF(Tabla1[nombre_proveedor],"Sony")</f>
        <v>4</v>
      </c>
      <c r="K66" s="8"/>
      <c r="M66" s="8" cm="1">
        <f t="array" ref="M66">COUNTIF(Proveedores,"Sony")</f>
        <v>4</v>
      </c>
      <c r="N66" s="5"/>
    </row>
    <row r="67" spans="6:14" x14ac:dyDescent="0.25">
      <c r="K67" s="1"/>
      <c r="M67" s="1" t="s">
        <v>114</v>
      </c>
    </row>
  </sheetData>
  <conditionalFormatting sqref="J6:K35">
    <cfRule type="cellIs" dxfId="0" priority="7" operator="equal">
      <formula>"Aplica p/ Bono"</formula>
    </cfRule>
  </conditionalFormatting>
  <conditionalFormatting sqref="H6:H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K35">
    <cfRule type="iconSet" priority="1">
      <iconSet iconSet="3Symbols2">
        <cfvo type="percent" val="0"/>
        <cfvo type="num" val="2"/>
        <cfvo type="num" val="3"/>
      </iconSet>
    </cfRule>
    <cfRule type="iconSet" priority="2">
      <iconSet>
        <cfvo type="percent" val="0"/>
        <cfvo type="num" val="2"/>
        <cfvo type="num" val="3"/>
      </iconSet>
    </cfRule>
    <cfRule type="iconSet" priority="3">
      <iconSet>
        <cfvo type="percent" val="0"/>
        <cfvo type="num" val="2"/>
        <cfvo type="num" val="3"/>
      </iconSet>
    </cfRule>
    <cfRule type="iconSet" priority="4">
      <iconSet iconSet="3TrafficLights2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Z6:Z35" xr:uid="{F1DD3F22-2076-408D-A68C-A68FD0DF1707}">
      <formula1>INDIRECT($Y6)</formula1>
    </dataValidation>
  </dataValidations>
  <printOptions horizontalCentered="1"/>
  <pageMargins left="0.23622047244094491" right="0.23622047244094491" top="0.35433070866141736" bottom="0.35433070866141736" header="0.31496062992125984" footer="0.31496062992125984"/>
  <pageSetup paperSize="5" orientation="landscape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5696A7-49BE-4C3E-9280-2288DA8DB6B7}">
          <x14:formula1>
            <xm:f>Estados!$F$2:$F$4</xm:f>
          </x14:formula1>
          <xm:sqref>Y6:Y35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2726-BD14-4CCE-BC64-4075C4414760}">
  <dimension ref="F1:L7"/>
  <sheetViews>
    <sheetView workbookViewId="0">
      <selection activeCell="H1" sqref="H1"/>
    </sheetView>
  </sheetViews>
  <sheetFormatPr baseColWidth="10" defaultRowHeight="15" x14ac:dyDescent="0.25"/>
  <cols>
    <col min="5" max="5" width="12.5703125" bestFit="1" customWidth="1"/>
    <col min="6" max="7" width="14.85546875" bestFit="1" customWidth="1"/>
    <col min="8" max="8" width="16.7109375" bestFit="1" customWidth="1"/>
  </cols>
  <sheetData>
    <row r="1" spans="6:12" ht="18.75" x14ac:dyDescent="0.3">
      <c r="F1" s="43" t="s">
        <v>50</v>
      </c>
      <c r="G1" s="43" t="s">
        <v>54</v>
      </c>
      <c r="H1" s="43" t="s">
        <v>115</v>
      </c>
      <c r="J1" s="43"/>
    </row>
    <row r="2" spans="6:12" ht="18.75" x14ac:dyDescent="0.3">
      <c r="F2" s="43" t="s">
        <v>51</v>
      </c>
      <c r="G2" s="43" t="s">
        <v>51</v>
      </c>
      <c r="H2" s="43" t="s">
        <v>60</v>
      </c>
      <c r="J2" s="43"/>
      <c r="K2" s="43"/>
    </row>
    <row r="3" spans="6:12" ht="18.75" x14ac:dyDescent="0.3">
      <c r="F3" s="43" t="s">
        <v>52</v>
      </c>
      <c r="G3" s="43" t="s">
        <v>51</v>
      </c>
      <c r="H3" s="43" t="s">
        <v>55</v>
      </c>
      <c r="J3" s="43"/>
      <c r="K3" s="43"/>
    </row>
    <row r="4" spans="6:12" ht="18.75" x14ac:dyDescent="0.3">
      <c r="F4" s="43" t="s">
        <v>53</v>
      </c>
      <c r="G4" s="43" t="s">
        <v>52</v>
      </c>
      <c r="H4" s="43" t="s">
        <v>56</v>
      </c>
      <c r="K4" s="43"/>
      <c r="L4" s="43"/>
    </row>
    <row r="5" spans="6:12" ht="18.75" x14ac:dyDescent="0.3">
      <c r="F5" s="43"/>
      <c r="G5" s="43" t="s">
        <v>52</v>
      </c>
      <c r="H5" s="43" t="s">
        <v>57</v>
      </c>
      <c r="K5" s="43"/>
      <c r="L5" s="43"/>
    </row>
    <row r="6" spans="6:12" ht="18.75" x14ac:dyDescent="0.3">
      <c r="F6" s="43"/>
      <c r="G6" s="43" t="s">
        <v>53</v>
      </c>
      <c r="H6" s="43" t="s">
        <v>58</v>
      </c>
      <c r="K6" s="43"/>
      <c r="L6" s="43"/>
    </row>
    <row r="7" spans="6:12" ht="18.75" x14ac:dyDescent="0.3">
      <c r="F7" s="43"/>
      <c r="G7" s="43" t="s">
        <v>53</v>
      </c>
      <c r="H7" s="43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E26-A818-49B0-B5C8-84C8E17CF5A8}">
  <dimension ref="A7:I30"/>
  <sheetViews>
    <sheetView workbookViewId="0"/>
  </sheetViews>
  <sheetFormatPr baseColWidth="10" defaultRowHeight="15" x14ac:dyDescent="0.25"/>
  <cols>
    <col min="1" max="1" width="18" bestFit="1" customWidth="1"/>
    <col min="2" max="2" width="12.28515625" bestFit="1" customWidth="1"/>
    <col min="3" max="3" width="14.28515625" bestFit="1" customWidth="1"/>
    <col min="4" max="4" width="16.5703125" bestFit="1" customWidth="1"/>
    <col min="5" max="5" width="33.42578125" bestFit="1" customWidth="1"/>
    <col min="6" max="8" width="10.7109375" bestFit="1" customWidth="1"/>
    <col min="9" max="9" width="12.5703125" bestFit="1" customWidth="1"/>
  </cols>
  <sheetData>
    <row r="7" spans="1:9" x14ac:dyDescent="0.25">
      <c r="A7" s="37" t="s">
        <v>123</v>
      </c>
      <c r="B7" s="37" t="s">
        <v>120</v>
      </c>
    </row>
    <row r="8" spans="1:9" x14ac:dyDescent="0.25">
      <c r="A8" s="37" t="s">
        <v>118</v>
      </c>
      <c r="B8" s="39">
        <v>43385</v>
      </c>
      <c r="C8" s="39">
        <v>43386</v>
      </c>
      <c r="D8" s="39">
        <v>43387</v>
      </c>
      <c r="E8" s="39">
        <v>43388</v>
      </c>
      <c r="F8" s="39">
        <v>43389</v>
      </c>
      <c r="G8" s="39">
        <v>43390</v>
      </c>
      <c r="H8" s="39">
        <v>43394</v>
      </c>
      <c r="I8" s="39" t="s">
        <v>119</v>
      </c>
    </row>
    <row r="9" spans="1:9" x14ac:dyDescent="0.25">
      <c r="A9" s="38">
        <v>1000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0.13333333333333333</v>
      </c>
      <c r="H9" s="41">
        <v>0</v>
      </c>
      <c r="I9" s="41">
        <v>0.13333333333333333</v>
      </c>
    </row>
    <row r="10" spans="1:9" x14ac:dyDescent="0.25">
      <c r="A10" s="38">
        <v>1001</v>
      </c>
      <c r="B10" s="41">
        <v>0</v>
      </c>
      <c r="C10" s="41">
        <v>0</v>
      </c>
      <c r="D10" s="41">
        <v>0</v>
      </c>
      <c r="E10" s="41">
        <v>0.13333333333333333</v>
      </c>
      <c r="F10" s="41">
        <v>0</v>
      </c>
      <c r="G10" s="41">
        <v>0</v>
      </c>
      <c r="H10" s="41">
        <v>0</v>
      </c>
      <c r="I10" s="41">
        <v>0.13333333333333333</v>
      </c>
    </row>
    <row r="11" spans="1:9" x14ac:dyDescent="0.25">
      <c r="A11" s="38">
        <v>1002</v>
      </c>
      <c r="B11" s="41">
        <v>0</v>
      </c>
      <c r="C11" s="41">
        <v>0</v>
      </c>
      <c r="D11" s="41">
        <v>0.13333333333333333</v>
      </c>
      <c r="E11" s="41">
        <v>0</v>
      </c>
      <c r="F11" s="41">
        <v>0</v>
      </c>
      <c r="G11" s="41">
        <v>0</v>
      </c>
      <c r="H11" s="41">
        <v>0</v>
      </c>
      <c r="I11" s="41">
        <v>0.13333333333333333</v>
      </c>
    </row>
    <row r="12" spans="1:9" x14ac:dyDescent="0.25">
      <c r="A12" s="38">
        <v>1003</v>
      </c>
      <c r="B12" s="41">
        <v>0.13333333333333333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0.13333333333333333</v>
      </c>
    </row>
    <row r="13" spans="1:9" x14ac:dyDescent="0.25">
      <c r="A13" s="38">
        <v>1004</v>
      </c>
      <c r="B13" s="41">
        <v>0</v>
      </c>
      <c r="C13" s="41">
        <v>0</v>
      </c>
      <c r="D13" s="41">
        <v>0</v>
      </c>
      <c r="E13" s="41">
        <v>0</v>
      </c>
      <c r="F13" s="41">
        <v>0.2</v>
      </c>
      <c r="G13" s="41">
        <v>0</v>
      </c>
      <c r="H13" s="41">
        <v>0</v>
      </c>
      <c r="I13" s="41">
        <v>0.2</v>
      </c>
    </row>
    <row r="14" spans="1:9" x14ac:dyDescent="0.25">
      <c r="A14" s="38">
        <v>1005</v>
      </c>
      <c r="B14" s="41">
        <v>0</v>
      </c>
      <c r="C14" s="41">
        <v>0.1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0.1</v>
      </c>
    </row>
    <row r="15" spans="1:9" x14ac:dyDescent="0.25">
      <c r="A15" s="38">
        <v>1006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0.16666666666666666</v>
      </c>
      <c r="I15" s="41">
        <v>0.16666666666666666</v>
      </c>
    </row>
    <row r="16" spans="1:9" x14ac:dyDescent="0.25">
      <c r="A16" s="38" t="s">
        <v>119</v>
      </c>
      <c r="B16" s="41">
        <v>0.13333333333333333</v>
      </c>
      <c r="C16" s="41">
        <v>0.1</v>
      </c>
      <c r="D16" s="41">
        <v>0.13333333333333333</v>
      </c>
      <c r="E16" s="41">
        <v>0.13333333333333333</v>
      </c>
      <c r="F16" s="41">
        <v>0.2</v>
      </c>
      <c r="G16" s="41">
        <v>0.13333333333333333</v>
      </c>
      <c r="H16" s="41">
        <v>0.16666666666666666</v>
      </c>
      <c r="I16" s="41">
        <v>1</v>
      </c>
    </row>
    <row r="19" spans="1:5" x14ac:dyDescent="0.25">
      <c r="A19" s="37" t="s">
        <v>50</v>
      </c>
      <c r="B19" t="s">
        <v>126</v>
      </c>
    </row>
    <row r="21" spans="1:5" x14ac:dyDescent="0.25">
      <c r="C21" s="37" t="s">
        <v>124</v>
      </c>
    </row>
    <row r="22" spans="1:5" x14ac:dyDescent="0.25">
      <c r="A22" s="37" t="s">
        <v>4</v>
      </c>
      <c r="B22" s="37" t="s">
        <v>3</v>
      </c>
      <c r="C22" t="s">
        <v>121</v>
      </c>
      <c r="D22" t="s">
        <v>122</v>
      </c>
      <c r="E22" t="s">
        <v>125</v>
      </c>
    </row>
    <row r="23" spans="1:5" x14ac:dyDescent="0.25">
      <c r="A23" t="s">
        <v>43</v>
      </c>
      <c r="B23">
        <v>5000</v>
      </c>
      <c r="C23" s="42">
        <v>8892</v>
      </c>
      <c r="D23" s="40">
        <v>8</v>
      </c>
      <c r="E23" s="40">
        <v>1111.5</v>
      </c>
    </row>
    <row r="24" spans="1:5" x14ac:dyDescent="0.25">
      <c r="A24" t="s">
        <v>46</v>
      </c>
      <c r="B24">
        <v>5300</v>
      </c>
      <c r="C24" s="42">
        <v>4200</v>
      </c>
      <c r="D24" s="40">
        <v>8</v>
      </c>
      <c r="E24" s="40">
        <v>525</v>
      </c>
    </row>
    <row r="25" spans="1:5" x14ac:dyDescent="0.25">
      <c r="A25" t="s">
        <v>47</v>
      </c>
      <c r="B25">
        <v>5400</v>
      </c>
      <c r="C25" s="42">
        <v>8000</v>
      </c>
      <c r="D25" s="40">
        <v>9</v>
      </c>
      <c r="E25" s="40">
        <v>888.88888888888891</v>
      </c>
    </row>
    <row r="26" spans="1:5" x14ac:dyDescent="0.25">
      <c r="A26" t="s">
        <v>45</v>
      </c>
      <c r="B26">
        <v>5200</v>
      </c>
      <c r="C26" s="42">
        <v>5093</v>
      </c>
      <c r="D26" s="40">
        <v>7</v>
      </c>
      <c r="E26" s="40">
        <v>727.57142857142856</v>
      </c>
    </row>
    <row r="27" spans="1:5" x14ac:dyDescent="0.25">
      <c r="A27" t="s">
        <v>44</v>
      </c>
      <c r="B27">
        <v>5100</v>
      </c>
      <c r="C27" s="42">
        <v>5390</v>
      </c>
      <c r="D27" s="40">
        <v>10</v>
      </c>
      <c r="E27" s="40">
        <v>539</v>
      </c>
    </row>
    <row r="28" spans="1:5" x14ac:dyDescent="0.25">
      <c r="A28" t="s">
        <v>48</v>
      </c>
      <c r="B28">
        <v>5500</v>
      </c>
      <c r="C28" s="42">
        <v>80</v>
      </c>
      <c r="D28" s="40">
        <v>7</v>
      </c>
      <c r="E28" s="40">
        <v>11.428571428571429</v>
      </c>
    </row>
    <row r="29" spans="1:5" x14ac:dyDescent="0.25">
      <c r="A29" t="s">
        <v>49</v>
      </c>
      <c r="B29">
        <v>5600</v>
      </c>
      <c r="C29" s="42">
        <v>3400</v>
      </c>
      <c r="D29" s="40">
        <v>7</v>
      </c>
      <c r="E29" s="40">
        <v>485.71428571428572</v>
      </c>
    </row>
    <row r="30" spans="1:5" x14ac:dyDescent="0.25">
      <c r="A30" t="s">
        <v>119</v>
      </c>
      <c r="C30" s="42">
        <v>35055</v>
      </c>
      <c r="D30" s="40">
        <v>56</v>
      </c>
      <c r="E30" s="40">
        <v>625.98214285714289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C01C-93BD-4678-9CA6-BCDFC7786790}">
  <dimension ref="A8:C73"/>
  <sheetViews>
    <sheetView workbookViewId="0"/>
  </sheetViews>
  <sheetFormatPr baseColWidth="10" defaultRowHeight="15" x14ac:dyDescent="0.25"/>
  <cols>
    <col min="1" max="1" width="13.28515625" bestFit="1" customWidth="1"/>
    <col min="2" max="2" width="14" bestFit="1" customWidth="1"/>
    <col min="3" max="3" width="16" bestFit="1" customWidth="1"/>
  </cols>
  <sheetData>
    <row r="8" spans="1:3" ht="18.75" x14ac:dyDescent="0.3">
      <c r="A8" s="44" t="s">
        <v>127</v>
      </c>
      <c r="B8" s="44" t="s">
        <v>128</v>
      </c>
      <c r="C8" s="44" t="s">
        <v>129</v>
      </c>
    </row>
    <row r="9" spans="1:3" ht="18.75" x14ac:dyDescent="0.3">
      <c r="A9" s="45" t="s">
        <v>44</v>
      </c>
      <c r="B9" s="46">
        <v>10</v>
      </c>
      <c r="C9" s="46">
        <v>9</v>
      </c>
    </row>
    <row r="10" spans="1:3" ht="18.75" x14ac:dyDescent="0.3">
      <c r="A10" s="45" t="s">
        <v>43</v>
      </c>
      <c r="B10" s="46">
        <v>8</v>
      </c>
      <c r="C10" s="46">
        <v>13</v>
      </c>
    </row>
    <row r="11" spans="1:3" ht="18.75" x14ac:dyDescent="0.3">
      <c r="A11" s="45" t="s">
        <v>46</v>
      </c>
      <c r="B11" s="46">
        <v>8</v>
      </c>
      <c r="C11" s="46">
        <v>9</v>
      </c>
    </row>
    <row r="12" spans="1:3" ht="18.75" x14ac:dyDescent="0.3">
      <c r="A12" s="45" t="s">
        <v>47</v>
      </c>
      <c r="B12" s="46">
        <v>9</v>
      </c>
      <c r="C12" s="46">
        <v>12</v>
      </c>
    </row>
    <row r="13" spans="1:3" ht="18.75" x14ac:dyDescent="0.3">
      <c r="A13" s="45" t="s">
        <v>45</v>
      </c>
      <c r="B13" s="46">
        <v>7</v>
      </c>
      <c r="C13" s="46">
        <v>9</v>
      </c>
    </row>
    <row r="14" spans="1:3" ht="18.75" x14ac:dyDescent="0.3">
      <c r="A14" s="45" t="s">
        <v>48</v>
      </c>
      <c r="B14" s="46">
        <v>7</v>
      </c>
      <c r="C14" s="46">
        <v>3</v>
      </c>
    </row>
    <row r="15" spans="1:3" ht="18.75" x14ac:dyDescent="0.3">
      <c r="A15" s="45" t="s">
        <v>49</v>
      </c>
      <c r="B15" s="46">
        <v>7</v>
      </c>
      <c r="C15" s="46">
        <v>10</v>
      </c>
    </row>
    <row r="26" spans="1:3" ht="18.75" x14ac:dyDescent="0.3">
      <c r="A26" s="44" t="s">
        <v>127</v>
      </c>
      <c r="B26" s="44" t="s">
        <v>128</v>
      </c>
      <c r="C26" s="44" t="s">
        <v>129</v>
      </c>
    </row>
    <row r="27" spans="1:3" ht="18.75" x14ac:dyDescent="0.3">
      <c r="A27" s="45" t="s">
        <v>44</v>
      </c>
      <c r="B27" s="46">
        <v>10</v>
      </c>
      <c r="C27" s="46">
        <v>9</v>
      </c>
    </row>
    <row r="28" spans="1:3" ht="18.75" x14ac:dyDescent="0.3">
      <c r="A28" s="45" t="s">
        <v>43</v>
      </c>
      <c r="B28" s="46">
        <v>8</v>
      </c>
      <c r="C28" s="46">
        <v>13</v>
      </c>
    </row>
    <row r="29" spans="1:3" ht="18.75" x14ac:dyDescent="0.3">
      <c r="A29" s="45" t="s">
        <v>46</v>
      </c>
      <c r="B29" s="46">
        <v>8</v>
      </c>
      <c r="C29" s="46">
        <v>9</v>
      </c>
    </row>
    <row r="30" spans="1:3" ht="18.75" x14ac:dyDescent="0.3">
      <c r="A30" s="45" t="s">
        <v>47</v>
      </c>
      <c r="B30" s="46">
        <v>9</v>
      </c>
      <c r="C30" s="46">
        <v>12</v>
      </c>
    </row>
    <row r="31" spans="1:3" ht="18.75" x14ac:dyDescent="0.3">
      <c r="A31" s="45" t="s">
        <v>45</v>
      </c>
      <c r="B31" s="46">
        <v>7</v>
      </c>
      <c r="C31" s="46">
        <v>9</v>
      </c>
    </row>
    <row r="32" spans="1:3" ht="18.75" x14ac:dyDescent="0.3">
      <c r="A32" s="45" t="s">
        <v>48</v>
      </c>
      <c r="B32" s="46">
        <v>7</v>
      </c>
      <c r="C32" s="46">
        <v>3</v>
      </c>
    </row>
    <row r="33" spans="1:3" ht="18.75" x14ac:dyDescent="0.3">
      <c r="A33" s="45" t="s">
        <v>49</v>
      </c>
      <c r="B33" s="46">
        <v>7</v>
      </c>
      <c r="C33" s="46">
        <v>10</v>
      </c>
    </row>
    <row r="44" spans="1:3" ht="18.75" x14ac:dyDescent="0.3">
      <c r="A44" s="44" t="s">
        <v>127</v>
      </c>
      <c r="B44" s="44" t="s">
        <v>128</v>
      </c>
      <c r="C44" s="44" t="s">
        <v>129</v>
      </c>
    </row>
    <row r="45" spans="1:3" ht="18.75" x14ac:dyDescent="0.3">
      <c r="A45" s="45" t="s">
        <v>44</v>
      </c>
      <c r="B45" s="46">
        <v>10</v>
      </c>
      <c r="C45" s="46">
        <v>9</v>
      </c>
    </row>
    <row r="46" spans="1:3" ht="18.75" x14ac:dyDescent="0.3">
      <c r="A46" s="45" t="s">
        <v>43</v>
      </c>
      <c r="B46" s="46">
        <v>8</v>
      </c>
      <c r="C46" s="46">
        <v>13</v>
      </c>
    </row>
    <row r="47" spans="1:3" ht="18.75" x14ac:dyDescent="0.3">
      <c r="A47" s="45" t="s">
        <v>46</v>
      </c>
      <c r="B47" s="46">
        <v>8</v>
      </c>
      <c r="C47" s="46">
        <v>9</v>
      </c>
    </row>
    <row r="48" spans="1:3" ht="18.75" x14ac:dyDescent="0.3">
      <c r="A48" s="45" t="s">
        <v>47</v>
      </c>
      <c r="B48" s="46">
        <v>9</v>
      </c>
      <c r="C48" s="46">
        <v>12</v>
      </c>
    </row>
    <row r="49" spans="1:3" ht="18.75" x14ac:dyDescent="0.3">
      <c r="A49" s="45" t="s">
        <v>45</v>
      </c>
      <c r="B49" s="46">
        <v>7</v>
      </c>
      <c r="C49" s="46">
        <v>9</v>
      </c>
    </row>
    <row r="50" spans="1:3" ht="18.75" x14ac:dyDescent="0.3">
      <c r="A50" s="45" t="s">
        <v>48</v>
      </c>
      <c r="B50" s="46">
        <v>7</v>
      </c>
      <c r="C50" s="46">
        <v>3</v>
      </c>
    </row>
    <row r="51" spans="1:3" ht="18.75" x14ac:dyDescent="0.3">
      <c r="A51" s="45" t="s">
        <v>49</v>
      </c>
      <c r="B51" s="46">
        <v>7</v>
      </c>
      <c r="C51" s="46">
        <v>10</v>
      </c>
    </row>
    <row r="66" spans="1:3" ht="18.75" x14ac:dyDescent="0.3">
      <c r="A66" s="44" t="s">
        <v>127</v>
      </c>
      <c r="B66" s="44" t="s">
        <v>129</v>
      </c>
      <c r="C66" s="47" t="s">
        <v>130</v>
      </c>
    </row>
    <row r="67" spans="1:3" ht="18.75" x14ac:dyDescent="0.3">
      <c r="A67" s="45" t="s">
        <v>44</v>
      </c>
      <c r="B67" s="46">
        <v>9</v>
      </c>
      <c r="C67" s="48">
        <v>0.14000000000000001</v>
      </c>
    </row>
    <row r="68" spans="1:3" ht="18.75" x14ac:dyDescent="0.3">
      <c r="A68" s="45" t="s">
        <v>43</v>
      </c>
      <c r="B68" s="46">
        <v>13</v>
      </c>
      <c r="C68" s="48">
        <v>0.2</v>
      </c>
    </row>
    <row r="69" spans="1:3" ht="18.75" x14ac:dyDescent="0.3">
      <c r="A69" s="45" t="s">
        <v>46</v>
      </c>
      <c r="B69" s="46">
        <v>9</v>
      </c>
      <c r="C69" s="48">
        <v>0.14000000000000001</v>
      </c>
    </row>
    <row r="70" spans="1:3" ht="18.75" x14ac:dyDescent="0.3">
      <c r="A70" s="45" t="s">
        <v>47</v>
      </c>
      <c r="B70" s="46">
        <v>12</v>
      </c>
      <c r="C70" s="48">
        <v>0.18</v>
      </c>
    </row>
    <row r="71" spans="1:3" ht="18.75" x14ac:dyDescent="0.3">
      <c r="A71" s="45" t="s">
        <v>45</v>
      </c>
      <c r="B71" s="46">
        <v>9</v>
      </c>
      <c r="C71" s="48">
        <v>0.14000000000000001</v>
      </c>
    </row>
    <row r="72" spans="1:3" ht="18.75" x14ac:dyDescent="0.3">
      <c r="A72" s="45" t="s">
        <v>48</v>
      </c>
      <c r="B72" s="46">
        <v>3</v>
      </c>
      <c r="C72" s="48">
        <v>0.05</v>
      </c>
    </row>
    <row r="73" spans="1:3" ht="18.75" x14ac:dyDescent="0.3">
      <c r="A73" s="45" t="s">
        <v>49</v>
      </c>
      <c r="B73" s="46">
        <v>10</v>
      </c>
      <c r="C73" s="48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</vt:i4>
      </vt:variant>
    </vt:vector>
  </HeadingPairs>
  <TitlesOfParts>
    <vt:vector size="12" baseType="lpstr">
      <vt:lpstr>Home</vt:lpstr>
      <vt:lpstr>BBDD</vt:lpstr>
      <vt:lpstr>Estados</vt:lpstr>
      <vt:lpstr>TB</vt:lpstr>
      <vt:lpstr>Graficas</vt:lpstr>
      <vt:lpstr>BBDD!Área_de_impresión</vt:lpstr>
      <vt:lpstr>Cantidad</vt:lpstr>
      <vt:lpstr>Entregado</vt:lpstr>
      <vt:lpstr>Proceso</vt:lpstr>
      <vt:lpstr>Proveedores</vt:lpstr>
      <vt:lpstr>Tránsito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Subaru</dc:creator>
  <cp:lastModifiedBy>Subaru</cp:lastModifiedBy>
  <cp:lastPrinted>2022-08-19T00:03:27Z</cp:lastPrinted>
  <dcterms:created xsi:type="dcterms:W3CDTF">2022-08-11T13:26:34Z</dcterms:created>
  <dcterms:modified xsi:type="dcterms:W3CDTF">2022-08-19T00:27:21Z</dcterms:modified>
</cp:coreProperties>
</file>