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">
      <text>
        <t xml:space="preserve">Problema: per fare queste % considerano il totale consumato (compreso le fonti estere) e non solo quello prodotto internamento. Questo comporta dei dati "falsati" dato che non sappiamo le fonti estere con che mix sono state prodotte</t>
      </text>
    </comment>
    <comment authorId="0" ref="E3">
      <text>
        <t xml:space="preserve">Produzione nazionale + (import - export)</t>
      </text>
    </comment>
    <comment authorId="0" ref="E6">
      <text>
        <t xml:space="preserve">consumo servizi ausiliari</t>
      </text>
    </comment>
    <comment authorId="0" ref="C15">
      <text>
        <t xml:space="preserve">pompaggi</t>
      </text>
    </comment>
    <comment authorId="0" ref="A27">
      <text>
        <t xml:space="preserve">Problema: per fare queste % considerano il totale consumato (compreso le fonti estere) e non solo quello prodotto internamento. Questo comporta dei dati "falsati" dato che non sappiamo le fonti estere con che mix sono state prodotte</t>
      </text>
    </comment>
    <comment authorId="0" ref="E27">
      <text>
        <t xml:space="preserve">Produzione nazionale + (import - export)</t>
      </text>
    </comment>
    <comment authorId="0" ref="E28">
      <text>
        <t xml:space="preserve">Consumi servizi ausiliari</t>
      </text>
    </comment>
    <comment authorId="0" ref="A212">
      <text>
        <t xml:space="preserve">Problema: per fare queste % considerano il totale consumato (compreso le fonti estere) e non solo quello prodotto internamento. Questo comporta dei dati "falsati" dato che non sappiamo le fonti estere con che mix sono state prodotte</t>
      </text>
    </comment>
    <comment authorId="0" ref="E212">
      <text>
        <t xml:space="preserve">Produzione nazionale + (import - export)</t>
      </text>
    </comment>
    <comment authorId="0" ref="E213">
      <text>
        <t xml:space="preserve">Consumi servizi ausiliari</t>
      </text>
    </comment>
  </commentList>
</comments>
</file>

<file path=xl/sharedStrings.xml><?xml version="1.0" encoding="utf-8"?>
<sst xmlns="http://schemas.openxmlformats.org/spreadsheetml/2006/main" count="421" uniqueCount="43">
  <si>
    <t>Composizione farbisogno</t>
  </si>
  <si>
    <t>NOTA</t>
  </si>
  <si>
    <t>non FER</t>
  </si>
  <si>
    <t>FER</t>
  </si>
  <si>
    <t>Estero</t>
  </si>
  <si>
    <t>TWh totali consumati</t>
  </si>
  <si>
    <t>TWh totali prodotti</t>
  </si>
  <si>
    <t>non FER nazionale</t>
  </si>
  <si>
    <t>FER nazionale</t>
  </si>
  <si>
    <t>Gen-Dic 2006</t>
  </si>
  <si>
    <t>Gen-Dic 2007</t>
  </si>
  <si>
    <t>Gen-Dic 2008</t>
  </si>
  <si>
    <t>Gen-Dic 2009</t>
  </si>
  <si>
    <t>Gen-Dic 2010</t>
  </si>
  <si>
    <t>Gen-Dic 2011</t>
  </si>
  <si>
    <t>Gen-Dic 2012</t>
  </si>
  <si>
    <t>Gen-Dic 2013</t>
  </si>
  <si>
    <t>Gen-Dic 2014</t>
  </si>
  <si>
    <t>Gen-Dic 2015</t>
  </si>
  <si>
    <t>Gen-Dic 2016</t>
  </si>
  <si>
    <t>Gen-Dic 2017</t>
  </si>
  <si>
    <t>Gen-Dic 2018</t>
  </si>
  <si>
    <t>Gen-Dic 2019</t>
  </si>
  <si>
    <t>Gen-Dic 2020</t>
  </si>
  <si>
    <t>Gen-Dic 2021</t>
  </si>
  <si>
    <t>Gen-Dic 2022</t>
  </si>
  <si>
    <t>Gen-Dic 2023</t>
  </si>
  <si>
    <t>Gen-Dic 2024</t>
  </si>
  <si>
    <t>TWh totali importati</t>
  </si>
  <si>
    <t>Idroelettrica</t>
  </si>
  <si>
    <t>Pompaggi in produzione</t>
  </si>
  <si>
    <t>Termica</t>
  </si>
  <si>
    <t>di cui biomasse</t>
  </si>
  <si>
    <t>di cui carbone</t>
  </si>
  <si>
    <t>Geotermica</t>
  </si>
  <si>
    <t>Eolica</t>
  </si>
  <si>
    <t>Fotovoltaica</t>
  </si>
  <si>
    <t>da biomasse</t>
  </si>
  <si>
    <t>da carbone</t>
  </si>
  <si>
    <t>NOTA: Come li ho letti</t>
  </si>
  <si>
    <t>Se era il report del 2009</t>
  </si>
  <si>
    <t>Ho letto l'anno 2008, un anno in dietro così i dati erano "consolidati"</t>
  </si>
  <si>
    <t>Tutti tranne per il 2024 in cui ho letto quello nel 2023 e del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</si>
</sst>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0" xfId="0" applyFont="1" applyNumberForma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9" xfId="0" applyFont="1" applyNumberFormat="1"/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1" numFmtId="1" xfId="0" applyFont="1" applyNumberFormat="1"/>
    <xf borderId="0" fillId="0" fontId="1" numFmtId="1" xfId="0" applyAlignment="1" applyFont="1" applyNumberFormat="1">
      <alignment readingOrder="0"/>
    </xf>
    <xf borderId="0" fillId="0" fontId="1" numFmtId="165" xfId="0" applyFont="1" applyNumberFormat="1"/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FER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Foglio1!$A$28:$A$190</c:f>
            </c:strRef>
          </c:cat>
          <c:val>
            <c:numRef>
              <c:f>Foglio1!$L$28:$L$190</c:f>
              <c:numCache/>
            </c:numRef>
          </c:val>
        </c:ser>
        <c:ser>
          <c:idx val="1"/>
          <c:order val="1"/>
          <c:tx>
            <c:v>non FER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Foglio1!$A$28:$A$190</c:f>
            </c:strRef>
          </c:cat>
          <c:val>
            <c:numRef>
              <c:f>Foglio1!$M$28:$M$190</c:f>
              <c:numCache/>
            </c:numRef>
          </c:val>
        </c:ser>
        <c:axId val="297010007"/>
        <c:axId val="2036936433"/>
      </c:areaChart>
      <c:catAx>
        <c:axId val="297010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936433"/>
      </c:catAx>
      <c:valAx>
        <c:axId val="2036936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0100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percentStacked"/>
        <c:ser>
          <c:idx val="0"/>
          <c:order val="0"/>
          <c:tx>
            <c:v>FER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Foglio1!$A$28:$A$190</c:f>
            </c:strRef>
          </c:cat>
          <c:val>
            <c:numRef>
              <c:f>Foglio1!$L$28:$L$190</c:f>
              <c:numCache/>
            </c:numRef>
          </c:val>
        </c:ser>
        <c:ser>
          <c:idx val="1"/>
          <c:order val="1"/>
          <c:tx>
            <c:v>non FER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Foglio1!$A$28:$A$190</c:f>
            </c:strRef>
          </c:cat>
          <c:val>
            <c:numRef>
              <c:f>Foglio1!$M$28:$M$190</c:f>
              <c:numCache/>
            </c:numRef>
          </c:val>
        </c:ser>
        <c:axId val="685023369"/>
        <c:axId val="22093019"/>
      </c:areaChart>
      <c:catAx>
        <c:axId val="685023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93019"/>
      </c:catAx>
      <c:valAx>
        <c:axId val="22093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02336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Idroelettrico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Foglio1!$O$213:$O$231</c:f>
            </c:strRef>
          </c:cat>
          <c:val>
            <c:numRef>
              <c:f>Foglio1!$P$213:$P$231</c:f>
              <c:numCache/>
            </c:numRef>
          </c:val>
        </c:ser>
        <c:ser>
          <c:idx val="1"/>
          <c:order val="1"/>
          <c:tx>
            <c:v>Geotermico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Foglio1!$O$213:$O$231</c:f>
            </c:strRef>
          </c:cat>
          <c:val>
            <c:numRef>
              <c:f>Foglio1!$Q$213:$Q$231</c:f>
              <c:numCache/>
            </c:numRef>
          </c:val>
        </c:ser>
        <c:ser>
          <c:idx val="2"/>
          <c:order val="2"/>
          <c:tx>
            <c:v>Eolico</c:v>
          </c:tx>
          <c:spPr>
            <a:solidFill>
              <a:schemeClr val="accent4">
                <a:alpha val="30000"/>
              </a:schemeClr>
            </a:solidFill>
            <a:ln cmpd="sng">
              <a:solidFill>
                <a:schemeClr val="accent4"/>
              </a:solidFill>
            </a:ln>
          </c:spPr>
          <c:cat>
            <c:strRef>
              <c:f>Foglio1!$O$213:$O$231</c:f>
            </c:strRef>
          </c:cat>
          <c:val>
            <c:numRef>
              <c:f>Foglio1!$R$213:$R$231</c:f>
              <c:numCache/>
            </c:numRef>
          </c:val>
        </c:ser>
        <c:ser>
          <c:idx val="3"/>
          <c:order val="3"/>
          <c:tx>
            <c:v>Fotovoltaico</c:v>
          </c:tx>
          <c:spPr>
            <a:solidFill>
              <a:schemeClr val="accent3">
                <a:alpha val="30000"/>
              </a:schemeClr>
            </a:solidFill>
            <a:ln cmpd="sng">
              <a:solidFill>
                <a:schemeClr val="accent3"/>
              </a:solidFill>
            </a:ln>
          </c:spPr>
          <c:cat>
            <c:strRef>
              <c:f>Foglio1!$O$213:$O$231</c:f>
            </c:strRef>
          </c:cat>
          <c:val>
            <c:numRef>
              <c:f>Foglio1!$S$213:$S$231</c:f>
              <c:numCache/>
            </c:numRef>
          </c:val>
        </c:ser>
        <c:axId val="447588522"/>
        <c:axId val="2000167316"/>
      </c:areaChart>
      <c:catAx>
        <c:axId val="447588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167316"/>
      </c:catAx>
      <c:valAx>
        <c:axId val="2000167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TWh</a:t>
                </a:r>
              </a:p>
            </c:rich>
          </c:tx>
          <c:layout>
            <c:manualLayout>
              <c:xMode val="edge"/>
              <c:yMode val="edge"/>
              <c:x val="0.04676906779661018"/>
              <c:y val="0.037021154945683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47588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FER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Foglio1!$A$5:$A$22</c:f>
            </c:strRef>
          </c:cat>
          <c:val>
            <c:numRef>
              <c:f>Foglio1!$L$28:$L$190</c:f>
              <c:numCache/>
            </c:numRef>
          </c:val>
        </c:ser>
        <c:ser>
          <c:idx val="1"/>
          <c:order val="1"/>
          <c:tx>
            <c:v>non FER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Foglio1!$A$5:$A$22</c:f>
            </c:strRef>
          </c:cat>
          <c:val>
            <c:numRef>
              <c:f>Foglio1!$M$28:$M$190</c:f>
              <c:numCache/>
            </c:numRef>
          </c:val>
        </c:ser>
        <c:axId val="1134385316"/>
        <c:axId val="148759350"/>
      </c:barChart>
      <c:catAx>
        <c:axId val="1134385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59350"/>
      </c:catAx>
      <c:valAx>
        <c:axId val="148759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385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percentStacked"/>
        <c:ser>
          <c:idx val="0"/>
          <c:order val="0"/>
          <c:tx>
            <c:v>non FER</c:v>
          </c:tx>
          <c:spPr>
            <a:solidFill>
              <a:srgbClr val="FF0000">
                <a:alpha val="30000"/>
              </a:srgbClr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cat>
            <c:strRef>
              <c:f>Foglio1!$A$5:$A$22</c:f>
            </c:strRef>
          </c:cat>
          <c:val>
            <c:numRef>
              <c:f>Foglio1!$M$28:$M$190</c:f>
              <c:numCache/>
            </c:numRef>
          </c:val>
        </c:ser>
        <c:ser>
          <c:idx val="1"/>
          <c:order val="1"/>
          <c:tx>
            <c:v>FER</c:v>
          </c:tx>
          <c:spPr>
            <a:solidFill>
              <a:schemeClr val="accent1">
                <a:alpha val="30000"/>
              </a:schemeClr>
            </a:solidFill>
            <a:ln cmpd="sng">
              <a:solidFill>
                <a:schemeClr val="accent1"/>
              </a:solidFill>
            </a:ln>
          </c:spPr>
          <c:cat>
            <c:strRef>
              <c:f>Foglio1!$A$5:$A$22</c:f>
            </c:strRef>
          </c:cat>
          <c:val>
            <c:numRef>
              <c:f>Foglio1!$L$28:$L$190</c:f>
              <c:numCache/>
            </c:numRef>
          </c:val>
        </c:ser>
        <c:axId val="1684914822"/>
        <c:axId val="334778952"/>
      </c:areaChart>
      <c:catAx>
        <c:axId val="1684914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778952"/>
      </c:catAx>
      <c:valAx>
        <c:axId val="334778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914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FER (%)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Foglio1!$A$5:$A$22</c:f>
            </c:strRef>
          </c:cat>
          <c:val>
            <c:numRef>
              <c:f>Foglio1!$L$28:$L$190</c:f>
              <c:numCache/>
            </c:numRef>
          </c:val>
        </c:ser>
        <c:ser>
          <c:idx val="1"/>
          <c:order val="1"/>
          <c:tx>
            <c:v>non FER (%)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Foglio1!$A$5:$A$22</c:f>
            </c:strRef>
          </c:cat>
          <c:val>
            <c:numRef>
              <c:f>Foglio1!$M$28:$M$190</c:f>
              <c:numCache/>
            </c:numRef>
          </c:val>
        </c:ser>
        <c:axId val="355645298"/>
        <c:axId val="1741121207"/>
      </c:barChart>
      <c:catAx>
        <c:axId val="355645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121207"/>
      </c:catAx>
      <c:valAx>
        <c:axId val="1741121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645298"/>
      </c:valAx>
      <c:barChart>
        <c:barDir val="col"/>
        <c:ser>
          <c:idx val="2"/>
          <c:order val="2"/>
          <c:tx>
            <c:v>TWh totali prodotti (TWh)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14"/>
          </c:dPt>
          <c:dPt>
            <c:idx val="18"/>
          </c:dPt>
          <c:cat>
            <c:strRef>
              <c:f>Foglio1!$A$5:$A$22</c:f>
            </c:strRef>
          </c:cat>
          <c:val>
            <c:numRef>
              <c:f>Foglio1!$K$28:$K$190</c:f>
              <c:numCache/>
            </c:numRef>
          </c:val>
        </c:ser>
        <c:axId val="809866012"/>
        <c:axId val="29398995"/>
      </c:barChart>
      <c:catAx>
        <c:axId val="8098660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98995"/>
      </c:catAx>
      <c:valAx>
        <c:axId val="2939899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98660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1"/>
          <c:order val="1"/>
          <c:tx>
            <c:v>FER (%)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Foglio1!$A$28:$A$190</c:f>
            </c:strRef>
          </c:cat>
          <c:val>
            <c:numRef>
              <c:f>Foglio1!$L$28:$L$190</c:f>
              <c:numCache/>
            </c:numRef>
          </c:val>
        </c:ser>
        <c:ser>
          <c:idx val="2"/>
          <c:order val="2"/>
          <c:tx>
            <c:v>non FER (%)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cat>
            <c:strRef>
              <c:f>Foglio1!$A$28:$A$190</c:f>
            </c:strRef>
          </c:cat>
          <c:val>
            <c:numRef>
              <c:f>Foglio1!$M$28:$M$190</c:f>
              <c:numCache/>
            </c:numRef>
          </c:val>
        </c:ser>
        <c:axId val="1872517198"/>
        <c:axId val="1135184163"/>
      </c:barChart>
      <c:catAx>
        <c:axId val="1872517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184163"/>
      </c:catAx>
      <c:valAx>
        <c:axId val="1135184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Percentuale sul totale prodotto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517198"/>
      </c:valAx>
      <c:lineChart>
        <c:ser>
          <c:idx val="0"/>
          <c:order val="0"/>
          <c:tx>
            <c:v>Produzione nazionale (TWh)</c:v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Foglio1!$A$28:$A$190</c:f>
            </c:strRef>
          </c:cat>
          <c:val>
            <c:numRef>
              <c:f>Foglio1!$K$28:$K$190</c:f>
              <c:numCache/>
            </c:numRef>
          </c:val>
          <c:smooth val="0"/>
        </c:ser>
        <c:ser>
          <c:idx val="3"/>
          <c:order val="3"/>
          <c:tx>
            <c:v>Importazioni (TWh)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Foglio1!$A$28:$A$190</c:f>
            </c:strRef>
          </c:cat>
          <c:val>
            <c:numRef>
              <c:f>Foglio1!$J$28:$J$190</c:f>
              <c:numCache/>
            </c:numRef>
          </c:val>
          <c:smooth val="0"/>
        </c:ser>
        <c:axId val="1961042119"/>
        <c:axId val="1377010146"/>
      </c:lineChart>
      <c:catAx>
        <c:axId val="1961042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7010146"/>
      </c:catAx>
      <c:valAx>
        <c:axId val="137701014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TWh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0421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1"/>
          <c:order val="1"/>
          <c:tx>
            <c:v>FER (%)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Foglio1!$A$28:$A$190</c:f>
            </c:strRef>
          </c:cat>
          <c:val>
            <c:numRef>
              <c:f>Foglio1!$L$28:$L$190</c:f>
              <c:numCache/>
            </c:numRef>
          </c:val>
        </c:ser>
        <c:ser>
          <c:idx val="2"/>
          <c:order val="2"/>
          <c:tx>
            <c:v>non FER (%)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cat>
            <c:strRef>
              <c:f>Foglio1!$A$28:$A$190</c:f>
            </c:strRef>
          </c:cat>
          <c:val>
            <c:numRef>
              <c:f>Foglio1!$M$28:$M$190</c:f>
              <c:numCache/>
            </c:numRef>
          </c:val>
        </c:ser>
        <c:axId val="281665390"/>
        <c:axId val="1897844154"/>
      </c:barChart>
      <c:catAx>
        <c:axId val="281665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844154"/>
      </c:catAx>
      <c:valAx>
        <c:axId val="1897844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Percentuale sul totale prodotto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1665390"/>
      </c:valAx>
      <c:lineChart>
        <c:ser>
          <c:idx val="0"/>
          <c:order val="0"/>
          <c:tx>
            <c:v>Produzione nazionale (TWh)</c:v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Foglio1!$A$28:$A$190</c:f>
            </c:strRef>
          </c:cat>
          <c:val>
            <c:numRef>
              <c:f>Foglio1!$K$28:$K$190</c:f>
              <c:numCache/>
            </c:numRef>
          </c:val>
          <c:smooth val="0"/>
        </c:ser>
        <c:ser>
          <c:idx val="3"/>
          <c:order val="3"/>
          <c:tx>
            <c:v>Importazioni (TWh)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Foglio1!$A$28:$A$190</c:f>
            </c:strRef>
          </c:cat>
          <c:val>
            <c:numRef>
              <c:f>Foglio1!$J$28:$J$190</c:f>
              <c:numCache/>
            </c:numRef>
          </c:val>
          <c:smooth val="0"/>
        </c:ser>
        <c:ser>
          <c:idx val="4"/>
          <c:order val="4"/>
          <c:tx>
            <c:v>non FER (TWh)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Foglio1!$A$28:$A$190</c:f>
            </c:strRef>
          </c:cat>
          <c:val>
            <c:numRef>
              <c:f>Foglio1!$B$28:$B$190</c:f>
              <c:numCache/>
            </c:numRef>
          </c:val>
          <c:smooth val="0"/>
        </c:ser>
        <c:ser>
          <c:idx val="5"/>
          <c:order val="5"/>
          <c:tx>
            <c:v>FER (TWh)</c:v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Foglio1!$A$28:$A$190</c:f>
            </c:strRef>
          </c:cat>
          <c:val>
            <c:numRef>
              <c:f>Foglio1!$C$28:$C$190</c:f>
              <c:numCache/>
            </c:numRef>
          </c:val>
          <c:smooth val="0"/>
        </c:ser>
        <c:axId val="710120609"/>
        <c:axId val="161640067"/>
      </c:lineChart>
      <c:catAx>
        <c:axId val="71012060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40067"/>
      </c:catAx>
      <c:valAx>
        <c:axId val="16164006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TWh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12060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161925</xdr:colOff>
      <xdr:row>19</xdr:row>
      <xdr:rowOff>171450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333375</xdr:colOff>
      <xdr:row>135</xdr:row>
      <xdr:rowOff>9525</xdr:rowOff>
    </xdr:from>
    <xdr:ext cx="5715000" cy="35337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933450</xdr:colOff>
      <xdr:row>233</xdr:row>
      <xdr:rowOff>171450</xdr:rowOff>
    </xdr:from>
    <xdr:ext cx="15068550" cy="928687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238125</xdr:colOff>
      <xdr:row>0</xdr:row>
      <xdr:rowOff>133350</xdr:rowOff>
    </xdr:from>
    <xdr:ext cx="5715000" cy="3533775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21</xdr:col>
      <xdr:colOff>495300</xdr:colOff>
      <xdr:row>1</xdr:row>
      <xdr:rowOff>66675</xdr:rowOff>
    </xdr:from>
    <xdr:ext cx="5715000" cy="3533775"/>
    <xdr:graphicFrame>
      <xdr:nvGraphicFramePr>
        <xdr:cNvPr id="5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28</xdr:col>
      <xdr:colOff>161925</xdr:colOff>
      <xdr:row>5</xdr:row>
      <xdr:rowOff>114300</xdr:rowOff>
    </xdr:from>
    <xdr:ext cx="5495925" cy="3400425"/>
    <xdr:graphicFrame>
      <xdr:nvGraphicFramePr>
        <xdr:cNvPr id="6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20</xdr:col>
      <xdr:colOff>714375</xdr:colOff>
      <xdr:row>27</xdr:row>
      <xdr:rowOff>114300</xdr:rowOff>
    </xdr:from>
    <xdr:ext cx="9858375" cy="6096000"/>
    <xdr:graphicFrame>
      <xdr:nvGraphicFramePr>
        <xdr:cNvPr id="7" name="Chart 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31</xdr:col>
      <xdr:colOff>114300</xdr:colOff>
      <xdr:row>27</xdr:row>
      <xdr:rowOff>47625</xdr:rowOff>
    </xdr:from>
    <xdr:ext cx="10772775" cy="6648450"/>
    <xdr:graphicFrame>
      <xdr:nvGraphicFramePr>
        <xdr:cNvPr id="8" name="Chart 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2"/>
  <cols>
    <col customWidth="1" min="1" max="1" width="19.0"/>
    <col customWidth="1" min="2" max="2" width="16.5"/>
    <col customWidth="1" min="5" max="5" width="16.5"/>
    <col customWidth="1" min="9" max="9" width="15.38"/>
    <col customWidth="1" min="10" max="13" width="15.13"/>
  </cols>
  <sheetData>
    <row r="1">
      <c r="G1" s="1"/>
    </row>
    <row r="2">
      <c r="F2" s="2" t="s">
        <v>0</v>
      </c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2</v>
      </c>
      <c r="G3" s="3" t="s">
        <v>3</v>
      </c>
      <c r="H3" s="3" t="s">
        <v>4</v>
      </c>
      <c r="J3" s="3" t="s">
        <v>6</v>
      </c>
      <c r="K3" s="3" t="s">
        <v>7</v>
      </c>
      <c r="L3" s="3" t="s">
        <v>8</v>
      </c>
    </row>
    <row r="4">
      <c r="A4" s="3" t="s">
        <v>9</v>
      </c>
      <c r="B4" s="3">
        <v>262.167</v>
      </c>
      <c r="C4" s="4">
        <f>43.423-8.753+5.528+2.73</f>
        <v>42.928</v>
      </c>
      <c r="D4" s="3">
        <v>44.985</v>
      </c>
      <c r="E4" s="5">
        <f>SUM(B4:D4)-12.864</f>
        <v>337.216</v>
      </c>
      <c r="F4" s="6">
        <f t="shared" ref="F4:H4" si="1">B4/$E4</f>
        <v>0.7774453169</v>
      </c>
      <c r="G4" s="6">
        <f t="shared" si="1"/>
        <v>0.1273011957</v>
      </c>
      <c r="H4" s="6">
        <f t="shared" si="1"/>
        <v>0.1334011435</v>
      </c>
      <c r="J4" s="7">
        <f t="shared" ref="J4:J22" si="4">SUM(B4:C4)</f>
        <v>305.095</v>
      </c>
      <c r="K4" s="6">
        <f t="shared" ref="K4:L4" si="2">B4/$J4</f>
        <v>0.8592962848</v>
      </c>
      <c r="L4" s="6">
        <f t="shared" si="2"/>
        <v>0.1407037152</v>
      </c>
    </row>
    <row r="5">
      <c r="A5" s="3" t="s">
        <v>10</v>
      </c>
      <c r="B5" s="3">
        <v>265.764</v>
      </c>
      <c r="C5" s="3">
        <f>38.481-7.654+5.569+4.074</f>
        <v>40.47</v>
      </c>
      <c r="D5" s="3">
        <v>46.283</v>
      </c>
      <c r="E5" s="5">
        <f>SUM(B5:D5)-12.589</f>
        <v>339.928</v>
      </c>
      <c r="F5" s="6">
        <f t="shared" ref="F5:H5" si="3">B5/$E5</f>
        <v>0.7818243863</v>
      </c>
      <c r="G5" s="6">
        <f t="shared" si="3"/>
        <v>0.1190546233</v>
      </c>
      <c r="H5" s="6">
        <f t="shared" si="3"/>
        <v>0.1361553035</v>
      </c>
      <c r="J5" s="7">
        <f t="shared" si="4"/>
        <v>306.234</v>
      </c>
      <c r="K5" s="6">
        <f t="shared" ref="K5:L5" si="5">B5/$J5</f>
        <v>0.8678461569</v>
      </c>
      <c r="L5" s="6">
        <f t="shared" si="5"/>
        <v>0.1321538431</v>
      </c>
    </row>
    <row r="6">
      <c r="A6" s="3" t="s">
        <v>11</v>
      </c>
      <c r="B6" s="3">
        <v>261.328</v>
      </c>
      <c r="C6" s="4">
        <f>47.227-7.618+5.52+5.055</f>
        <v>50.184</v>
      </c>
      <c r="D6" s="3">
        <v>40.037</v>
      </c>
      <c r="E6" s="5">
        <f>SUM(B6:D6)-12.065</f>
        <v>339.484</v>
      </c>
      <c r="F6" s="6">
        <f t="shared" ref="F6:H6" si="6">B6/$E6</f>
        <v>0.7697800191</v>
      </c>
      <c r="G6" s="6">
        <f t="shared" si="6"/>
        <v>0.1478243452</v>
      </c>
      <c r="H6" s="6">
        <f t="shared" si="6"/>
        <v>0.1179348659</v>
      </c>
      <c r="J6" s="7">
        <f t="shared" si="4"/>
        <v>311.512</v>
      </c>
      <c r="K6" s="6">
        <f t="shared" ref="K6:L6" si="7">B6/$J6</f>
        <v>0.8389018722</v>
      </c>
      <c r="L6" s="6">
        <f t="shared" si="7"/>
        <v>0.1610981278</v>
      </c>
    </row>
    <row r="7">
      <c r="A7" s="3" t="s">
        <v>12</v>
      </c>
      <c r="B7" s="3">
        <v>216.087</v>
      </c>
      <c r="C7" s="4">
        <f>52.844-5.798+5.015+6.484+0.677</f>
        <v>59.222</v>
      </c>
      <c r="D7" s="3">
        <v>44.959</v>
      </c>
      <c r="E7" s="5">
        <f t="shared" ref="E7:E22" si="10">SUM(B7:D7)</f>
        <v>320.268</v>
      </c>
      <c r="F7" s="6">
        <f t="shared" ref="F7:H7" si="8">B7/$E7</f>
        <v>0.674706808</v>
      </c>
      <c r="G7" s="6">
        <f t="shared" si="8"/>
        <v>0.1849138846</v>
      </c>
      <c r="H7" s="6">
        <f t="shared" si="8"/>
        <v>0.1403793073</v>
      </c>
      <c r="J7" s="7">
        <f t="shared" si="4"/>
        <v>275.309</v>
      </c>
      <c r="K7" s="6">
        <f t="shared" ref="K7:L7" si="9">B7/$J7</f>
        <v>0.7848889793</v>
      </c>
      <c r="L7" s="6">
        <f t="shared" si="9"/>
        <v>0.2151110207</v>
      </c>
    </row>
    <row r="8">
      <c r="A8" s="3" t="s">
        <v>13</v>
      </c>
      <c r="B8" s="3">
        <v>220.984</v>
      </c>
      <c r="C8" s="4">
        <f>53.795-4.453+5.047+9.048+1.874</f>
        <v>65.311</v>
      </c>
      <c r="D8" s="3">
        <v>44.16</v>
      </c>
      <c r="E8" s="5">
        <f t="shared" si="10"/>
        <v>330.455</v>
      </c>
      <c r="F8" s="6">
        <f t="shared" ref="F8:H8" si="11">B8/$E8</f>
        <v>0.6687264529</v>
      </c>
      <c r="G8" s="6">
        <f t="shared" si="11"/>
        <v>0.1976396181</v>
      </c>
      <c r="H8" s="6">
        <f t="shared" si="11"/>
        <v>0.133633929</v>
      </c>
      <c r="J8" s="7">
        <f t="shared" si="4"/>
        <v>286.295</v>
      </c>
      <c r="K8" s="6">
        <f t="shared" ref="K8:L8" si="12">B8/$J8</f>
        <v>0.7718751637</v>
      </c>
      <c r="L8" s="6">
        <f t="shared" si="12"/>
        <v>0.2281248363</v>
      </c>
    </row>
    <row r="9">
      <c r="A9" s="3" t="s">
        <v>14</v>
      </c>
      <c r="B9" s="3">
        <v>218.486</v>
      </c>
      <c r="C9" s="4">
        <f>47.202-2.539+5.315+9.775+10.668</f>
        <v>70.421</v>
      </c>
      <c r="D9" s="3">
        <v>45.733</v>
      </c>
      <c r="E9" s="5">
        <f t="shared" si="10"/>
        <v>334.64</v>
      </c>
      <c r="F9" s="6">
        <f t="shared" ref="F9:H9" si="13">B9/$E9</f>
        <v>0.6528986373</v>
      </c>
      <c r="G9" s="6">
        <f t="shared" si="13"/>
        <v>0.2104380827</v>
      </c>
      <c r="H9" s="6">
        <f t="shared" si="13"/>
        <v>0.1366632799</v>
      </c>
      <c r="J9" s="7">
        <f t="shared" si="4"/>
        <v>288.907</v>
      </c>
      <c r="K9" s="6">
        <f t="shared" ref="K9:L9" si="14">B9/$J9</f>
        <v>0.7562502812</v>
      </c>
      <c r="L9" s="6">
        <f t="shared" si="14"/>
        <v>0.2437497188</v>
      </c>
    </row>
    <row r="10">
      <c r="A10" s="3" t="s">
        <v>15</v>
      </c>
      <c r="B10" s="3">
        <v>207.331</v>
      </c>
      <c r="C10" s="4">
        <f>43.26-2.689+5.251+13.333+18.631</f>
        <v>77.786</v>
      </c>
      <c r="D10" s="3">
        <v>43.103</v>
      </c>
      <c r="E10" s="5">
        <f t="shared" si="10"/>
        <v>328.22</v>
      </c>
      <c r="F10" s="6">
        <f t="shared" ref="F10:H10" si="15">B10/$E10</f>
        <v>0.6316830175</v>
      </c>
      <c r="G10" s="6">
        <f t="shared" si="15"/>
        <v>0.23699348</v>
      </c>
      <c r="H10" s="6">
        <f t="shared" si="15"/>
        <v>0.1313235025</v>
      </c>
      <c r="J10" s="7">
        <f t="shared" si="4"/>
        <v>285.117</v>
      </c>
      <c r="K10" s="6">
        <f t="shared" ref="K10:L10" si="16">B10/$J10</f>
        <v>0.727178667</v>
      </c>
      <c r="L10" s="6">
        <f t="shared" si="16"/>
        <v>0.272821333</v>
      </c>
    </row>
    <row r="11">
      <c r="A11" s="3" t="s">
        <v>16</v>
      </c>
      <c r="B11" s="3">
        <f>183.404</f>
        <v>183.404</v>
      </c>
      <c r="C11" s="4">
        <f>54.068-2.495+5.319+14.812+21.229</f>
        <v>92.933</v>
      </c>
      <c r="D11" s="3">
        <v>42.138</v>
      </c>
      <c r="E11" s="5">
        <f t="shared" si="10"/>
        <v>318.475</v>
      </c>
      <c r="F11" s="6">
        <f t="shared" ref="F11:H11" si="17">B11/$E11</f>
        <v>0.5758819374</v>
      </c>
      <c r="G11" s="6">
        <f t="shared" si="17"/>
        <v>0.2918062642</v>
      </c>
      <c r="H11" s="6">
        <f t="shared" si="17"/>
        <v>0.1323117984</v>
      </c>
      <c r="J11" s="7">
        <f t="shared" si="4"/>
        <v>276.337</v>
      </c>
      <c r="K11" s="6">
        <f t="shared" ref="K11:L11" si="18">B11/$J11</f>
        <v>0.6636968629</v>
      </c>
      <c r="L11" s="6">
        <f t="shared" si="18"/>
        <v>0.3363031371</v>
      </c>
    </row>
    <row r="12">
      <c r="A12" s="3" t="s">
        <v>17</v>
      </c>
      <c r="B12" s="3">
        <v>167.08</v>
      </c>
      <c r="C12" s="4">
        <f>59.575-2.329+5.566+15.089+21.838</f>
        <v>99.739</v>
      </c>
      <c r="D12" s="3">
        <v>43.716</v>
      </c>
      <c r="E12" s="5">
        <f t="shared" si="10"/>
        <v>310.535</v>
      </c>
      <c r="F12" s="6">
        <f t="shared" ref="F12:H12" si="19">B12/$E12</f>
        <v>0.5380391904</v>
      </c>
      <c r="G12" s="6">
        <f t="shared" si="19"/>
        <v>0.3211844076</v>
      </c>
      <c r="H12" s="6">
        <f t="shared" si="19"/>
        <v>0.140776402</v>
      </c>
      <c r="J12" s="7">
        <f t="shared" si="4"/>
        <v>266.819</v>
      </c>
      <c r="K12" s="6">
        <f t="shared" ref="K12:L12" si="20">B12/$J12</f>
        <v>0.6261922877</v>
      </c>
      <c r="L12" s="6">
        <f t="shared" si="20"/>
        <v>0.3738077123</v>
      </c>
    </row>
    <row r="13">
      <c r="A13" s="3" t="s">
        <v>18</v>
      </c>
      <c r="B13" s="4">
        <f>182.861-17.93</f>
        <v>164.931</v>
      </c>
      <c r="C13" s="4">
        <f>46.451-1.909+17.93+5.824+14.705+22.587</f>
        <v>105.588</v>
      </c>
      <c r="D13" s="3">
        <v>46.378</v>
      </c>
      <c r="E13" s="5">
        <f t="shared" si="10"/>
        <v>316.897</v>
      </c>
      <c r="F13" s="6">
        <f t="shared" ref="F13:H13" si="21">B13/$E13</f>
        <v>0.5204561735</v>
      </c>
      <c r="G13" s="6">
        <f t="shared" si="21"/>
        <v>0.3331934351</v>
      </c>
      <c r="H13" s="6">
        <f t="shared" si="21"/>
        <v>0.1463503915</v>
      </c>
      <c r="J13" s="7">
        <f t="shared" si="4"/>
        <v>270.519</v>
      </c>
      <c r="K13" s="6">
        <f t="shared" ref="K13:L13" si="22">B13/$J13</f>
        <v>0.6096836082</v>
      </c>
      <c r="L13" s="6">
        <f t="shared" si="22"/>
        <v>0.3903163918</v>
      </c>
    </row>
    <row r="14">
      <c r="A14" s="3" t="s">
        <v>19</v>
      </c>
      <c r="B14" s="4">
        <f>190.771-17.956</f>
        <v>172.815</v>
      </c>
      <c r="C14" s="4">
        <f>43.785-2.4668+17.956+5.867+17.523+21.757</f>
        <v>104.4212</v>
      </c>
      <c r="D14" s="3">
        <v>37.026</v>
      </c>
      <c r="E14" s="5">
        <f t="shared" si="10"/>
        <v>314.2622</v>
      </c>
      <c r="F14" s="6">
        <f t="shared" ref="F14:H14" si="23">B14/$E14</f>
        <v>0.5499070521</v>
      </c>
      <c r="G14" s="6">
        <f t="shared" si="23"/>
        <v>0.3322741329</v>
      </c>
      <c r="H14" s="6">
        <f t="shared" si="23"/>
        <v>0.117818815</v>
      </c>
      <c r="J14" s="7">
        <f t="shared" si="4"/>
        <v>277.2362</v>
      </c>
      <c r="K14" s="6">
        <f t="shared" ref="K14:L14" si="24">B14/$J14</f>
        <v>0.6233493317</v>
      </c>
      <c r="L14" s="6">
        <f t="shared" si="24"/>
        <v>0.3766506683</v>
      </c>
    </row>
    <row r="15">
      <c r="A15" s="3" t="s">
        <v>20</v>
      </c>
      <c r="B15" s="3">
        <v>182.487</v>
      </c>
      <c r="C15" s="4">
        <f>37.557+17.818+5.821+17.565+24.017-2.233</f>
        <v>100.545</v>
      </c>
      <c r="D15" s="3">
        <v>37.761</v>
      </c>
      <c r="E15" s="5">
        <f t="shared" si="10"/>
        <v>320.793</v>
      </c>
      <c r="F15" s="6">
        <f t="shared" ref="F15:H15" si="25">B15/$E15</f>
        <v>0.5688621635</v>
      </c>
      <c r="G15" s="6">
        <f t="shared" si="25"/>
        <v>0.3134264152</v>
      </c>
      <c r="H15" s="6">
        <f t="shared" si="25"/>
        <v>0.1177114214</v>
      </c>
      <c r="J15" s="7">
        <f t="shared" si="4"/>
        <v>283.032</v>
      </c>
      <c r="K15" s="6">
        <f t="shared" ref="K15:L15" si="26">B15/$J15</f>
        <v>0.6447574833</v>
      </c>
      <c r="L15" s="6">
        <f t="shared" si="26"/>
        <v>0.3552425167</v>
      </c>
    </row>
    <row r="16">
      <c r="A16" s="3" t="s">
        <v>21</v>
      </c>
      <c r="B16" s="8">
        <v>165.639</v>
      </c>
      <c r="C16" s="8">
        <v>111.893</v>
      </c>
      <c r="D16" s="8">
        <v>43.899</v>
      </c>
      <c r="E16" s="5">
        <f t="shared" si="10"/>
        <v>321.431</v>
      </c>
      <c r="F16" s="6">
        <f t="shared" ref="F16:H16" si="27">B16/$E16</f>
        <v>0.5153174398</v>
      </c>
      <c r="G16" s="6">
        <f t="shared" si="27"/>
        <v>0.3481089254</v>
      </c>
      <c r="H16" s="6">
        <f t="shared" si="27"/>
        <v>0.1365736348</v>
      </c>
      <c r="J16" s="7">
        <f t="shared" si="4"/>
        <v>277.532</v>
      </c>
      <c r="K16" s="6">
        <f t="shared" ref="K16:L16" si="28">B16/$J16</f>
        <v>0.5968284738</v>
      </c>
      <c r="L16" s="6">
        <f t="shared" si="28"/>
        <v>0.4031715262</v>
      </c>
    </row>
    <row r="17">
      <c r="A17" s="3" t="s">
        <v>22</v>
      </c>
      <c r="B17" s="8">
        <v>168.61</v>
      </c>
      <c r="C17" s="3">
        <v>112.871</v>
      </c>
      <c r="D17" s="8">
        <v>38.141</v>
      </c>
      <c r="E17" s="5">
        <f t="shared" si="10"/>
        <v>319.622</v>
      </c>
      <c r="F17" s="6">
        <f t="shared" ref="F17:H17" si="29">B17/$E17</f>
        <v>0.5275293941</v>
      </c>
      <c r="G17" s="6">
        <f t="shared" si="29"/>
        <v>0.3531390205</v>
      </c>
      <c r="H17" s="6">
        <f t="shared" si="29"/>
        <v>0.1193315854</v>
      </c>
      <c r="J17" s="7">
        <f t="shared" si="4"/>
        <v>281.481</v>
      </c>
      <c r="K17" s="6">
        <f t="shared" ref="K17:L17" si="30">B17/$J17</f>
        <v>0.5990102351</v>
      </c>
      <c r="L17" s="6">
        <f t="shared" si="30"/>
        <v>0.4009897649</v>
      </c>
    </row>
    <row r="18">
      <c r="A18" s="3" t="s">
        <v>23</v>
      </c>
      <c r="B18" s="3">
        <v>157.693</v>
      </c>
      <c r="C18" s="8">
        <v>113.955</v>
      </c>
      <c r="D18" s="8">
        <v>32.2</v>
      </c>
      <c r="E18" s="5">
        <f t="shared" si="10"/>
        <v>303.848</v>
      </c>
      <c r="F18" s="6">
        <f t="shared" ref="F18:H18" si="31">B18/$E18</f>
        <v>0.5189864669</v>
      </c>
      <c r="G18" s="6">
        <f t="shared" si="31"/>
        <v>0.3750394934</v>
      </c>
      <c r="H18" s="6">
        <f t="shared" si="31"/>
        <v>0.1059740397</v>
      </c>
      <c r="J18" s="7">
        <f t="shared" si="4"/>
        <v>271.648</v>
      </c>
      <c r="K18" s="6">
        <f t="shared" ref="K18:L18" si="32">B18/$J18</f>
        <v>0.5805049181</v>
      </c>
      <c r="L18" s="6">
        <f t="shared" si="32"/>
        <v>0.4194950819</v>
      </c>
    </row>
    <row r="19">
      <c r="A19" s="3" t="s">
        <v>24</v>
      </c>
      <c r="B19" s="8">
        <v>163.863</v>
      </c>
      <c r="C19" s="8">
        <v>113.266</v>
      </c>
      <c r="D19" s="8">
        <v>42.79</v>
      </c>
      <c r="E19" s="5">
        <f t="shared" si="10"/>
        <v>319.919</v>
      </c>
      <c r="F19" s="6">
        <f t="shared" ref="F19:H19" si="33">B19/$E19</f>
        <v>0.512201526</v>
      </c>
      <c r="G19" s="6">
        <f t="shared" si="33"/>
        <v>0.3540458679</v>
      </c>
      <c r="H19" s="6">
        <f t="shared" si="33"/>
        <v>0.1337526061</v>
      </c>
      <c r="J19" s="7">
        <f t="shared" si="4"/>
        <v>277.129</v>
      </c>
      <c r="K19" s="6">
        <f t="shared" ref="K19:L19" si="34">B19/$J19</f>
        <v>0.5912878118</v>
      </c>
      <c r="L19" s="6">
        <f t="shared" si="34"/>
        <v>0.4087121882</v>
      </c>
    </row>
    <row r="20">
      <c r="A20" s="3" t="s">
        <v>25</v>
      </c>
      <c r="B20" s="8">
        <v>174.406</v>
      </c>
      <c r="C20" s="8">
        <v>97.615</v>
      </c>
      <c r="D20" s="8">
        <v>42.987</v>
      </c>
      <c r="E20" s="5">
        <f t="shared" si="10"/>
        <v>315.008</v>
      </c>
      <c r="F20" s="6">
        <f t="shared" ref="F20:H20" si="35">B20/$E20</f>
        <v>0.5536557802</v>
      </c>
      <c r="G20" s="6">
        <f t="shared" si="35"/>
        <v>0.3098810189</v>
      </c>
      <c r="H20" s="6">
        <f t="shared" si="35"/>
        <v>0.1364632009</v>
      </c>
      <c r="J20" s="7">
        <f t="shared" si="4"/>
        <v>272.021</v>
      </c>
      <c r="K20" s="6">
        <f t="shared" ref="K20:L20" si="36">B20/$J20</f>
        <v>0.6411490289</v>
      </c>
      <c r="L20" s="6">
        <f t="shared" si="36"/>
        <v>0.3588509711</v>
      </c>
    </row>
    <row r="21">
      <c r="A21" s="3" t="s">
        <v>26</v>
      </c>
      <c r="B21" s="8">
        <v>140.926</v>
      </c>
      <c r="C21" s="8">
        <v>113.439</v>
      </c>
      <c r="D21" s="8">
        <v>51.251</v>
      </c>
      <c r="E21" s="5">
        <f t="shared" si="10"/>
        <v>305.616</v>
      </c>
      <c r="F21" s="6">
        <f t="shared" ref="F21:H21" si="37">B21/$E21</f>
        <v>0.4611211455</v>
      </c>
      <c r="G21" s="6">
        <f t="shared" si="37"/>
        <v>0.3711814826</v>
      </c>
      <c r="H21" s="6">
        <f t="shared" si="37"/>
        <v>0.1676973719</v>
      </c>
      <c r="J21" s="7">
        <f t="shared" si="4"/>
        <v>254.365</v>
      </c>
      <c r="K21" s="6">
        <f t="shared" ref="K21:L21" si="38">B21/$J21</f>
        <v>0.5540306253</v>
      </c>
      <c r="L21" s="6">
        <f t="shared" si="38"/>
        <v>0.4459693747</v>
      </c>
    </row>
    <row r="22">
      <c r="A22" s="3" t="s">
        <v>27</v>
      </c>
      <c r="B22" s="8">
        <v>132.625</v>
      </c>
      <c r="C22" s="8">
        <v>128.661</v>
      </c>
      <c r="D22" s="8">
        <v>50.999</v>
      </c>
      <c r="E22" s="5">
        <f t="shared" si="10"/>
        <v>312.285</v>
      </c>
      <c r="F22" s="6">
        <f t="shared" ref="F22:H22" si="39">B22/$E22</f>
        <v>0.4246921882</v>
      </c>
      <c r="G22" s="6">
        <f t="shared" si="39"/>
        <v>0.4119986551</v>
      </c>
      <c r="H22" s="6">
        <f t="shared" si="39"/>
        <v>0.1633091567</v>
      </c>
      <c r="J22" s="7">
        <f t="shared" si="4"/>
        <v>261.286</v>
      </c>
      <c r="K22" s="6">
        <f t="shared" ref="K22:L22" si="40">B22/$J22</f>
        <v>0.5075855576</v>
      </c>
      <c r="L22" s="6">
        <f t="shared" si="40"/>
        <v>0.4924144424</v>
      </c>
    </row>
    <row r="23">
      <c r="F23" s="2" t="s">
        <v>0</v>
      </c>
    </row>
    <row r="24">
      <c r="F24" s="2"/>
      <c r="G24" s="2"/>
      <c r="H24" s="2"/>
    </row>
    <row r="25">
      <c r="F25" s="2"/>
      <c r="G25" s="2"/>
      <c r="H25" s="2"/>
    </row>
    <row r="26">
      <c r="A26" s="3"/>
      <c r="B26" s="3"/>
      <c r="C26" s="3"/>
      <c r="D26" s="3"/>
      <c r="E26" s="3"/>
      <c r="F26" s="3"/>
      <c r="G26" s="3"/>
      <c r="H26" s="3"/>
      <c r="J26" s="3"/>
      <c r="K26" s="3"/>
      <c r="L26" s="3"/>
    </row>
    <row r="27">
      <c r="A27" s="3" t="s">
        <v>1</v>
      </c>
      <c r="B27" s="3" t="s">
        <v>2</v>
      </c>
      <c r="C27" s="3" t="s">
        <v>3</v>
      </c>
      <c r="D27" s="3" t="s">
        <v>4</v>
      </c>
      <c r="E27" s="3" t="s">
        <v>5</v>
      </c>
      <c r="F27" s="3" t="s">
        <v>2</v>
      </c>
      <c r="G27" s="3" t="s">
        <v>3</v>
      </c>
      <c r="H27" s="3" t="s">
        <v>4</v>
      </c>
      <c r="J27" s="3" t="s">
        <v>28</v>
      </c>
      <c r="K27" s="3" t="s">
        <v>6</v>
      </c>
      <c r="L27" s="3" t="s">
        <v>8</v>
      </c>
      <c r="M27" s="3" t="s">
        <v>7</v>
      </c>
      <c r="N27" s="9"/>
    </row>
    <row r="28" collapsed="1">
      <c r="A28" s="3" t="s">
        <v>9</v>
      </c>
      <c r="B28" s="10">
        <f>B31</f>
        <v>262.167</v>
      </c>
      <c r="C28" s="10">
        <f>SUM(C29:C36)</f>
        <v>43.171</v>
      </c>
      <c r="D28" s="11">
        <v>44.985</v>
      </c>
      <c r="E28" s="12">
        <f>SUM(B28:D28)-12.864</f>
        <v>337.459</v>
      </c>
      <c r="F28" s="6">
        <f t="shared" ref="F28:H28" si="41">B28/$E28</f>
        <v>0.7768854883</v>
      </c>
      <c r="G28" s="6">
        <f t="shared" si="41"/>
        <v>0.1279296152</v>
      </c>
      <c r="H28" s="6">
        <f t="shared" si="41"/>
        <v>0.133305083</v>
      </c>
      <c r="J28" s="10">
        <f t="shared" ref="J28:J190" si="42">E28-K28</f>
        <v>32.121</v>
      </c>
      <c r="K28" s="13">
        <f>SUM(B28:C28)</f>
        <v>305.338</v>
      </c>
      <c r="L28" s="6">
        <f t="shared" ref="L28:L190" si="43">$C28/$K28</f>
        <v>0.141387577</v>
      </c>
      <c r="M28" s="6">
        <f t="shared" ref="M28:M190" si="44">$B28/$K28</f>
        <v>0.858612423</v>
      </c>
      <c r="N28" s="6"/>
    </row>
    <row r="29" hidden="1" outlineLevel="1">
      <c r="A29" s="3" t="s">
        <v>29</v>
      </c>
      <c r="B29" s="11"/>
      <c r="C29" s="11">
        <v>43.423</v>
      </c>
      <c r="D29" s="11"/>
      <c r="E29" s="12"/>
      <c r="F29" s="6"/>
      <c r="G29" s="6"/>
      <c r="H29" s="6"/>
      <c r="J29" s="10">
        <f t="shared" si="42"/>
        <v>0</v>
      </c>
      <c r="K29" s="13"/>
      <c r="L29" s="6" t="str">
        <f t="shared" si="43"/>
        <v>#DIV/0!</v>
      </c>
      <c r="M29" s="6" t="str">
        <f t="shared" si="44"/>
        <v>#DIV/0!</v>
      </c>
      <c r="N29" s="6"/>
    </row>
    <row r="30" hidden="1" outlineLevel="1">
      <c r="A30" s="3" t="s">
        <v>30</v>
      </c>
      <c r="B30" s="11"/>
      <c r="C30" s="11">
        <v>-8.753</v>
      </c>
      <c r="D30" s="11"/>
      <c r="E30" s="12"/>
      <c r="F30" s="6"/>
      <c r="G30" s="6"/>
      <c r="H30" s="6"/>
      <c r="J30" s="10">
        <f t="shared" si="42"/>
        <v>0</v>
      </c>
      <c r="K30" s="13"/>
      <c r="L30" s="6" t="str">
        <f t="shared" si="43"/>
        <v>#DIV/0!</v>
      </c>
      <c r="M30" s="6" t="str">
        <f t="shared" si="44"/>
        <v>#DIV/0!</v>
      </c>
      <c r="N30" s="6"/>
    </row>
    <row r="31" hidden="1" outlineLevel="1" collapsed="1">
      <c r="A31" s="3" t="s">
        <v>31</v>
      </c>
      <c r="B31" s="11">
        <v>262.167</v>
      </c>
      <c r="C31" s="10"/>
      <c r="D31" s="11"/>
      <c r="E31" s="12"/>
      <c r="F31" s="6"/>
      <c r="G31" s="6"/>
      <c r="H31" s="6"/>
      <c r="J31" s="10">
        <f t="shared" si="42"/>
        <v>0</v>
      </c>
      <c r="K31" s="13"/>
      <c r="L31" s="6" t="str">
        <f t="shared" si="43"/>
        <v>#DIV/0!</v>
      </c>
      <c r="M31" s="6" t="str">
        <f t="shared" si="44"/>
        <v>#DIV/0!</v>
      </c>
      <c r="N31" s="6"/>
    </row>
    <row r="32" hidden="1" outlineLevel="2">
      <c r="A32" s="3" t="s">
        <v>32</v>
      </c>
      <c r="B32" s="11"/>
      <c r="C32" s="10"/>
      <c r="D32" s="11"/>
      <c r="E32" s="12"/>
      <c r="F32" s="6"/>
      <c r="G32" s="6"/>
      <c r="H32" s="6"/>
      <c r="J32" s="10">
        <f t="shared" si="42"/>
        <v>0</v>
      </c>
      <c r="K32" s="13"/>
      <c r="L32" s="6" t="str">
        <f t="shared" si="43"/>
        <v>#DIV/0!</v>
      </c>
      <c r="M32" s="6" t="str">
        <f t="shared" si="44"/>
        <v>#DIV/0!</v>
      </c>
      <c r="N32" s="6"/>
    </row>
    <row r="33" hidden="1" outlineLevel="2">
      <c r="A33" s="3" t="s">
        <v>33</v>
      </c>
      <c r="B33" s="11"/>
      <c r="C33" s="10"/>
      <c r="D33" s="11"/>
      <c r="E33" s="12"/>
      <c r="F33" s="6"/>
      <c r="G33" s="6"/>
      <c r="H33" s="6"/>
      <c r="J33" s="10">
        <f t="shared" si="42"/>
        <v>0</v>
      </c>
      <c r="K33" s="13"/>
      <c r="L33" s="6" t="str">
        <f t="shared" si="43"/>
        <v>#DIV/0!</v>
      </c>
      <c r="M33" s="6" t="str">
        <f t="shared" si="44"/>
        <v>#DIV/0!</v>
      </c>
      <c r="N33" s="6"/>
    </row>
    <row r="34" hidden="1" outlineLevel="1">
      <c r="A34" s="3" t="s">
        <v>34</v>
      </c>
      <c r="B34" s="11"/>
      <c r="C34" s="10">
        <f>5.528</f>
        <v>5.528</v>
      </c>
      <c r="D34" s="11"/>
      <c r="E34" s="12"/>
      <c r="F34" s="6"/>
      <c r="G34" s="6"/>
      <c r="H34" s="6"/>
      <c r="J34" s="10">
        <f t="shared" si="42"/>
        <v>0</v>
      </c>
      <c r="K34" s="13"/>
      <c r="L34" s="6" t="str">
        <f t="shared" si="43"/>
        <v>#DIV/0!</v>
      </c>
      <c r="M34" s="6" t="str">
        <f t="shared" si="44"/>
        <v>#DIV/0!</v>
      </c>
      <c r="N34" s="6"/>
    </row>
    <row r="35" hidden="1" outlineLevel="1">
      <c r="A35" s="3" t="s">
        <v>35</v>
      </c>
      <c r="B35" s="11"/>
      <c r="C35" s="10">
        <f>2.973</f>
        <v>2.973</v>
      </c>
      <c r="D35" s="11"/>
      <c r="E35" s="12"/>
      <c r="F35" s="6"/>
      <c r="G35" s="6"/>
      <c r="H35" s="6"/>
      <c r="J35" s="10">
        <f t="shared" si="42"/>
        <v>0</v>
      </c>
      <c r="K35" s="13"/>
      <c r="L35" s="6" t="str">
        <f t="shared" si="43"/>
        <v>#DIV/0!</v>
      </c>
      <c r="M35" s="6" t="str">
        <f t="shared" si="44"/>
        <v>#DIV/0!</v>
      </c>
      <c r="N35" s="6"/>
    </row>
    <row r="36" hidden="1" outlineLevel="1">
      <c r="A36" s="3" t="s">
        <v>36</v>
      </c>
      <c r="B36" s="11"/>
      <c r="C36" s="10"/>
      <c r="D36" s="11"/>
      <c r="E36" s="12"/>
      <c r="F36" s="6"/>
      <c r="G36" s="6"/>
      <c r="H36" s="6"/>
      <c r="J36" s="10">
        <f t="shared" si="42"/>
        <v>0</v>
      </c>
      <c r="K36" s="13"/>
      <c r="L36" s="6" t="str">
        <f t="shared" si="43"/>
        <v>#DIV/0!</v>
      </c>
      <c r="M36" s="6" t="str">
        <f t="shared" si="44"/>
        <v>#DIV/0!</v>
      </c>
      <c r="N36" s="6"/>
    </row>
    <row r="37" collapsed="1">
      <c r="A37" s="3" t="s">
        <v>10</v>
      </c>
      <c r="B37" s="10">
        <f>B40</f>
        <v>265.764</v>
      </c>
      <c r="C37" s="10">
        <f>SUM(C38:C45)</f>
        <v>40.47</v>
      </c>
      <c r="D37" s="11">
        <v>46.283</v>
      </c>
      <c r="E37" s="12">
        <f>SUM(B37:D37)-12.589</f>
        <v>339.928</v>
      </c>
      <c r="F37" s="6">
        <f>B40/$E37</f>
        <v>0.7818243863</v>
      </c>
      <c r="G37" s="6">
        <f t="shared" ref="G37:H37" si="45">C37/$E37</f>
        <v>0.1190546233</v>
      </c>
      <c r="H37" s="6">
        <f t="shared" si="45"/>
        <v>0.1361553035</v>
      </c>
      <c r="J37" s="10">
        <f t="shared" si="42"/>
        <v>33.694</v>
      </c>
      <c r="K37" s="13">
        <f>SUM(B37:C37)</f>
        <v>306.234</v>
      </c>
      <c r="L37" s="6">
        <f t="shared" si="43"/>
        <v>0.1321538431</v>
      </c>
      <c r="M37" s="6">
        <f t="shared" si="44"/>
        <v>0.8678461569</v>
      </c>
      <c r="N37" s="6"/>
    </row>
    <row r="38" hidden="1" outlineLevel="1">
      <c r="A38" s="3" t="s">
        <v>29</v>
      </c>
      <c r="B38" s="10"/>
      <c r="C38" s="11">
        <v>38.481</v>
      </c>
      <c r="D38" s="10"/>
      <c r="E38" s="12"/>
      <c r="J38" s="10">
        <f t="shared" si="42"/>
        <v>0</v>
      </c>
      <c r="K38" s="14"/>
      <c r="L38" s="6" t="str">
        <f t="shared" si="43"/>
        <v>#DIV/0!</v>
      </c>
      <c r="M38" s="6" t="str">
        <f t="shared" si="44"/>
        <v>#DIV/0!</v>
      </c>
      <c r="N38" s="6"/>
    </row>
    <row r="39" hidden="1" outlineLevel="1">
      <c r="A39" s="3" t="s">
        <v>30</v>
      </c>
      <c r="B39" s="10"/>
      <c r="C39" s="11">
        <v>-7.654</v>
      </c>
      <c r="D39" s="10"/>
      <c r="E39" s="12"/>
      <c r="J39" s="10">
        <f t="shared" si="42"/>
        <v>0</v>
      </c>
      <c r="K39" s="14"/>
      <c r="L39" s="6" t="str">
        <f t="shared" si="43"/>
        <v>#DIV/0!</v>
      </c>
      <c r="M39" s="6" t="str">
        <f t="shared" si="44"/>
        <v>#DIV/0!</v>
      </c>
      <c r="N39" s="6"/>
    </row>
    <row r="40" hidden="1" outlineLevel="1" collapsed="1">
      <c r="A40" s="3" t="s">
        <v>31</v>
      </c>
      <c r="B40" s="11">
        <v>265.764</v>
      </c>
      <c r="C40" s="10"/>
      <c r="D40" s="10"/>
      <c r="E40" s="12"/>
      <c r="J40" s="10">
        <f t="shared" si="42"/>
        <v>0</v>
      </c>
      <c r="K40" s="14"/>
      <c r="L40" s="6" t="str">
        <f t="shared" si="43"/>
        <v>#DIV/0!</v>
      </c>
      <c r="M40" s="6" t="str">
        <f t="shared" si="44"/>
        <v>#DIV/0!</v>
      </c>
      <c r="N40" s="6"/>
    </row>
    <row r="41" hidden="1" outlineLevel="2">
      <c r="A41" s="3" t="s">
        <v>32</v>
      </c>
      <c r="B41" s="10"/>
      <c r="C41" s="10"/>
      <c r="D41" s="10"/>
      <c r="E41" s="12"/>
      <c r="J41" s="10">
        <f t="shared" si="42"/>
        <v>0</v>
      </c>
      <c r="K41" s="14"/>
      <c r="L41" s="6" t="str">
        <f t="shared" si="43"/>
        <v>#DIV/0!</v>
      </c>
      <c r="M41" s="6" t="str">
        <f t="shared" si="44"/>
        <v>#DIV/0!</v>
      </c>
      <c r="N41" s="6"/>
    </row>
    <row r="42" hidden="1" outlineLevel="2">
      <c r="A42" s="3" t="s">
        <v>33</v>
      </c>
      <c r="B42" s="10"/>
      <c r="C42" s="10"/>
      <c r="D42" s="10"/>
      <c r="E42" s="12"/>
      <c r="J42" s="10">
        <f t="shared" si="42"/>
        <v>0</v>
      </c>
      <c r="K42" s="14"/>
      <c r="L42" s="6" t="str">
        <f t="shared" si="43"/>
        <v>#DIV/0!</v>
      </c>
      <c r="M42" s="6" t="str">
        <f t="shared" si="44"/>
        <v>#DIV/0!</v>
      </c>
      <c r="N42" s="6"/>
    </row>
    <row r="43" hidden="1" outlineLevel="1">
      <c r="A43" s="3" t="s">
        <v>34</v>
      </c>
      <c r="B43" s="10"/>
      <c r="C43" s="11">
        <v>5.569</v>
      </c>
      <c r="D43" s="10"/>
      <c r="E43" s="12"/>
      <c r="J43" s="10">
        <f t="shared" si="42"/>
        <v>0</v>
      </c>
      <c r="K43" s="14"/>
      <c r="L43" s="6" t="str">
        <f t="shared" si="43"/>
        <v>#DIV/0!</v>
      </c>
      <c r="M43" s="6" t="str">
        <f t="shared" si="44"/>
        <v>#DIV/0!</v>
      </c>
      <c r="N43" s="6"/>
    </row>
    <row r="44" hidden="1" outlineLevel="1">
      <c r="A44" s="3" t="s">
        <v>35</v>
      </c>
      <c r="B44" s="10"/>
      <c r="C44" s="11">
        <v>4.074</v>
      </c>
      <c r="D44" s="10"/>
      <c r="E44" s="12"/>
      <c r="J44" s="10">
        <f t="shared" si="42"/>
        <v>0</v>
      </c>
      <c r="K44" s="14"/>
      <c r="L44" s="6" t="str">
        <f t="shared" si="43"/>
        <v>#DIV/0!</v>
      </c>
      <c r="M44" s="6" t="str">
        <f t="shared" si="44"/>
        <v>#DIV/0!</v>
      </c>
      <c r="N44" s="6"/>
    </row>
    <row r="45" hidden="1" outlineLevel="1">
      <c r="A45" s="3" t="s">
        <v>36</v>
      </c>
      <c r="B45" s="10"/>
      <c r="C45" s="10"/>
      <c r="D45" s="10"/>
      <c r="E45" s="12"/>
      <c r="J45" s="10">
        <f t="shared" si="42"/>
        <v>0</v>
      </c>
      <c r="K45" s="14"/>
      <c r="L45" s="6" t="str">
        <f t="shared" si="43"/>
        <v>#DIV/0!</v>
      </c>
      <c r="M45" s="6" t="str">
        <f t="shared" si="44"/>
        <v>#DIV/0!</v>
      </c>
      <c r="N45" s="6"/>
    </row>
    <row r="46" collapsed="1">
      <c r="A46" s="3" t="s">
        <v>11</v>
      </c>
      <c r="B46" s="10">
        <f>B49</f>
        <v>261.328</v>
      </c>
      <c r="C46" s="10">
        <f>SUM(C47:C54)</f>
        <v>50.184</v>
      </c>
      <c r="D46" s="11">
        <v>40.034</v>
      </c>
      <c r="E46" s="12">
        <f>SUM(B46:D46)-12.065</f>
        <v>339.481</v>
      </c>
      <c r="F46" s="6">
        <f t="shared" ref="F46:H46" si="46">B46/$E46</f>
        <v>0.7697868216</v>
      </c>
      <c r="G46" s="6">
        <f t="shared" si="46"/>
        <v>0.1478256515</v>
      </c>
      <c r="H46" s="6">
        <f t="shared" si="46"/>
        <v>0.117927071</v>
      </c>
      <c r="J46" s="10">
        <f t="shared" si="42"/>
        <v>27.969</v>
      </c>
      <c r="K46" s="13">
        <f>SUM(B46:C46)</f>
        <v>311.512</v>
      </c>
      <c r="L46" s="6">
        <f t="shared" si="43"/>
        <v>0.1610981278</v>
      </c>
      <c r="M46" s="6">
        <f t="shared" si="44"/>
        <v>0.8389018722</v>
      </c>
      <c r="N46" s="6"/>
    </row>
    <row r="47" hidden="1" outlineLevel="1">
      <c r="A47" s="3" t="s">
        <v>29</v>
      </c>
      <c r="B47" s="12"/>
      <c r="C47" s="12">
        <f>47.227</f>
        <v>47.227</v>
      </c>
      <c r="D47" s="12"/>
      <c r="E47" s="12"/>
      <c r="J47" s="10">
        <f t="shared" si="42"/>
        <v>0</v>
      </c>
      <c r="K47" s="14"/>
      <c r="L47" s="6" t="str">
        <f t="shared" si="43"/>
        <v>#DIV/0!</v>
      </c>
      <c r="M47" s="6" t="str">
        <f t="shared" si="44"/>
        <v>#DIV/0!</v>
      </c>
      <c r="N47" s="6"/>
    </row>
    <row r="48" hidden="1" outlineLevel="1">
      <c r="A48" s="3" t="s">
        <v>30</v>
      </c>
      <c r="B48" s="12"/>
      <c r="C48" s="15">
        <v>-7.618</v>
      </c>
      <c r="D48" s="12"/>
      <c r="E48" s="12"/>
      <c r="J48" s="10">
        <f t="shared" si="42"/>
        <v>0</v>
      </c>
      <c r="K48" s="14"/>
      <c r="L48" s="6" t="str">
        <f t="shared" si="43"/>
        <v>#DIV/0!</v>
      </c>
      <c r="M48" s="6" t="str">
        <f t="shared" si="44"/>
        <v>#DIV/0!</v>
      </c>
      <c r="N48" s="6"/>
    </row>
    <row r="49" hidden="1" outlineLevel="1">
      <c r="A49" s="3" t="s">
        <v>31</v>
      </c>
      <c r="B49" s="15">
        <v>261.328</v>
      </c>
      <c r="C49" s="12"/>
      <c r="D49" s="12"/>
      <c r="E49" s="12"/>
      <c r="J49" s="10">
        <f t="shared" si="42"/>
        <v>0</v>
      </c>
      <c r="K49" s="14"/>
      <c r="L49" s="6" t="str">
        <f t="shared" si="43"/>
        <v>#DIV/0!</v>
      </c>
      <c r="M49" s="6" t="str">
        <f t="shared" si="44"/>
        <v>#DIV/0!</v>
      </c>
      <c r="N49" s="6"/>
    </row>
    <row r="50" hidden="1" outlineLevel="2">
      <c r="A50" s="3" t="s">
        <v>32</v>
      </c>
      <c r="B50" s="12"/>
      <c r="C50" s="12"/>
      <c r="D50" s="12"/>
      <c r="E50" s="12"/>
      <c r="J50" s="10">
        <f t="shared" si="42"/>
        <v>0</v>
      </c>
      <c r="K50" s="14"/>
      <c r="L50" s="6" t="str">
        <f t="shared" si="43"/>
        <v>#DIV/0!</v>
      </c>
      <c r="M50" s="6" t="str">
        <f t="shared" si="44"/>
        <v>#DIV/0!</v>
      </c>
      <c r="N50" s="6"/>
    </row>
    <row r="51" hidden="1" outlineLevel="2">
      <c r="A51" s="3" t="s">
        <v>33</v>
      </c>
      <c r="B51" s="12"/>
      <c r="C51" s="12"/>
      <c r="D51" s="12"/>
      <c r="E51" s="12"/>
      <c r="J51" s="10">
        <f t="shared" si="42"/>
        <v>0</v>
      </c>
      <c r="K51" s="14"/>
      <c r="L51" s="6" t="str">
        <f t="shared" si="43"/>
        <v>#DIV/0!</v>
      </c>
      <c r="M51" s="6" t="str">
        <f t="shared" si="44"/>
        <v>#DIV/0!</v>
      </c>
      <c r="N51" s="6"/>
    </row>
    <row r="52" hidden="1" outlineLevel="1">
      <c r="A52" s="3" t="s">
        <v>34</v>
      </c>
      <c r="B52" s="12"/>
      <c r="C52" s="12">
        <f>5.52</f>
        <v>5.52</v>
      </c>
      <c r="D52" s="12"/>
      <c r="E52" s="12"/>
      <c r="J52" s="10">
        <f t="shared" si="42"/>
        <v>0</v>
      </c>
      <c r="K52" s="14"/>
      <c r="L52" s="6" t="str">
        <f t="shared" si="43"/>
        <v>#DIV/0!</v>
      </c>
      <c r="M52" s="6" t="str">
        <f t="shared" si="44"/>
        <v>#DIV/0!</v>
      </c>
      <c r="N52" s="6"/>
    </row>
    <row r="53" hidden="1" outlineLevel="1">
      <c r="A53" s="3" t="s">
        <v>35</v>
      </c>
      <c r="B53" s="12"/>
      <c r="C53" s="12">
        <f>5.055</f>
        <v>5.055</v>
      </c>
      <c r="D53" s="12"/>
      <c r="E53" s="12"/>
      <c r="J53" s="10">
        <f t="shared" si="42"/>
        <v>0</v>
      </c>
      <c r="K53" s="14"/>
      <c r="L53" s="6" t="str">
        <f t="shared" si="43"/>
        <v>#DIV/0!</v>
      </c>
      <c r="M53" s="6" t="str">
        <f t="shared" si="44"/>
        <v>#DIV/0!</v>
      </c>
      <c r="N53" s="6"/>
    </row>
    <row r="54" hidden="1" outlineLevel="1">
      <c r="A54" s="3" t="s">
        <v>36</v>
      </c>
      <c r="B54" s="12"/>
      <c r="C54" s="12"/>
      <c r="D54" s="12"/>
      <c r="E54" s="12"/>
      <c r="J54" s="10">
        <f t="shared" si="42"/>
        <v>0</v>
      </c>
      <c r="K54" s="14"/>
      <c r="L54" s="6" t="str">
        <f t="shared" si="43"/>
        <v>#DIV/0!</v>
      </c>
      <c r="M54" s="6" t="str">
        <f t="shared" si="44"/>
        <v>#DIV/0!</v>
      </c>
      <c r="N54" s="6"/>
    </row>
    <row r="55" collapsed="1">
      <c r="A55" s="3" t="s">
        <v>12</v>
      </c>
      <c r="B55" s="11">
        <f>B58</f>
        <v>216.087</v>
      </c>
      <c r="C55" s="10">
        <f>SUM(C56:C63)</f>
        <v>59.222</v>
      </c>
      <c r="D55" s="11">
        <v>44.959</v>
      </c>
      <c r="E55" s="5">
        <f>SUM(B55:D55)</f>
        <v>320.268</v>
      </c>
      <c r="F55" s="6">
        <f t="shared" ref="F55:H55" si="47">B55/$E55</f>
        <v>0.674706808</v>
      </c>
      <c r="G55" s="6">
        <f t="shared" si="47"/>
        <v>0.1849138846</v>
      </c>
      <c r="H55" s="6">
        <f t="shared" si="47"/>
        <v>0.1403793073</v>
      </c>
      <c r="J55" s="10">
        <f t="shared" si="42"/>
        <v>44.959</v>
      </c>
      <c r="K55" s="13">
        <f>SUM(B55:C55)</f>
        <v>275.309</v>
      </c>
      <c r="L55" s="6">
        <f t="shared" si="43"/>
        <v>0.2151110207</v>
      </c>
      <c r="M55" s="6">
        <f t="shared" si="44"/>
        <v>0.7848889793</v>
      </c>
      <c r="N55" s="6"/>
    </row>
    <row r="56" hidden="1" outlineLevel="1">
      <c r="A56" s="3" t="s">
        <v>29</v>
      </c>
      <c r="B56" s="10"/>
      <c r="C56" s="10">
        <f>52.844</f>
        <v>52.844</v>
      </c>
      <c r="D56" s="10"/>
      <c r="E56" s="5"/>
      <c r="J56" s="10">
        <f t="shared" si="42"/>
        <v>0</v>
      </c>
      <c r="K56" s="14"/>
      <c r="L56" s="6" t="str">
        <f t="shared" si="43"/>
        <v>#DIV/0!</v>
      </c>
      <c r="M56" s="6" t="str">
        <f t="shared" si="44"/>
        <v>#DIV/0!</v>
      </c>
      <c r="N56" s="6"/>
    </row>
    <row r="57" hidden="1" outlineLevel="1">
      <c r="A57" s="3" t="s">
        <v>30</v>
      </c>
      <c r="B57" s="10"/>
      <c r="C57" s="11">
        <v>-5.798</v>
      </c>
      <c r="D57" s="10"/>
      <c r="E57" s="5"/>
      <c r="J57" s="10">
        <f t="shared" si="42"/>
        <v>0</v>
      </c>
      <c r="K57" s="14"/>
      <c r="L57" s="6" t="str">
        <f t="shared" si="43"/>
        <v>#DIV/0!</v>
      </c>
      <c r="M57" s="6" t="str">
        <f t="shared" si="44"/>
        <v>#DIV/0!</v>
      </c>
      <c r="N57" s="6"/>
    </row>
    <row r="58" hidden="1" outlineLevel="1">
      <c r="A58" s="3" t="s">
        <v>31</v>
      </c>
      <c r="B58" s="11">
        <v>216.087</v>
      </c>
      <c r="C58" s="10"/>
      <c r="D58" s="10"/>
      <c r="E58" s="5"/>
      <c r="J58" s="10">
        <f t="shared" si="42"/>
        <v>0</v>
      </c>
      <c r="K58" s="14"/>
      <c r="L58" s="6" t="str">
        <f t="shared" si="43"/>
        <v>#DIV/0!</v>
      </c>
      <c r="M58" s="6" t="str">
        <f t="shared" si="44"/>
        <v>#DIV/0!</v>
      </c>
      <c r="N58" s="6"/>
    </row>
    <row r="59" hidden="1" outlineLevel="2">
      <c r="A59" s="3" t="s">
        <v>32</v>
      </c>
      <c r="B59" s="10"/>
      <c r="C59" s="10"/>
      <c r="D59" s="10"/>
      <c r="E59" s="5"/>
      <c r="J59" s="10">
        <f t="shared" si="42"/>
        <v>0</v>
      </c>
      <c r="K59" s="14"/>
      <c r="L59" s="6" t="str">
        <f t="shared" si="43"/>
        <v>#DIV/0!</v>
      </c>
      <c r="M59" s="6" t="str">
        <f t="shared" si="44"/>
        <v>#DIV/0!</v>
      </c>
      <c r="N59" s="6"/>
    </row>
    <row r="60" hidden="1" outlineLevel="2">
      <c r="A60" s="3" t="s">
        <v>33</v>
      </c>
      <c r="B60" s="10"/>
      <c r="C60" s="10"/>
      <c r="D60" s="10"/>
      <c r="E60" s="5"/>
      <c r="J60" s="10">
        <f t="shared" si="42"/>
        <v>0</v>
      </c>
      <c r="K60" s="14"/>
      <c r="L60" s="6" t="str">
        <f t="shared" si="43"/>
        <v>#DIV/0!</v>
      </c>
      <c r="M60" s="6" t="str">
        <f t="shared" si="44"/>
        <v>#DIV/0!</v>
      </c>
      <c r="N60" s="6"/>
    </row>
    <row r="61" hidden="1" outlineLevel="1">
      <c r="A61" s="3" t="s">
        <v>34</v>
      </c>
      <c r="B61" s="10"/>
      <c r="C61" s="10">
        <f>5.015</f>
        <v>5.015</v>
      </c>
      <c r="D61" s="10"/>
      <c r="E61" s="5"/>
      <c r="J61" s="10">
        <f t="shared" si="42"/>
        <v>0</v>
      </c>
      <c r="K61" s="14"/>
      <c r="L61" s="6" t="str">
        <f t="shared" si="43"/>
        <v>#DIV/0!</v>
      </c>
      <c r="M61" s="6" t="str">
        <f t="shared" si="44"/>
        <v>#DIV/0!</v>
      </c>
      <c r="N61" s="6"/>
    </row>
    <row r="62" hidden="1" outlineLevel="1">
      <c r="A62" s="3" t="s">
        <v>35</v>
      </c>
      <c r="B62" s="10"/>
      <c r="C62" s="10">
        <f>6.484</f>
        <v>6.484</v>
      </c>
      <c r="D62" s="10"/>
      <c r="E62" s="5"/>
      <c r="J62" s="10">
        <f t="shared" si="42"/>
        <v>0</v>
      </c>
      <c r="K62" s="14"/>
      <c r="L62" s="6" t="str">
        <f t="shared" si="43"/>
        <v>#DIV/0!</v>
      </c>
      <c r="M62" s="6" t="str">
        <f t="shared" si="44"/>
        <v>#DIV/0!</v>
      </c>
      <c r="N62" s="6"/>
    </row>
    <row r="63" hidden="1" outlineLevel="1">
      <c r="A63" s="3" t="s">
        <v>36</v>
      </c>
      <c r="B63" s="10"/>
      <c r="C63" s="10">
        <f>0.677</f>
        <v>0.677</v>
      </c>
      <c r="D63" s="10"/>
      <c r="E63" s="5"/>
      <c r="J63" s="10">
        <f t="shared" si="42"/>
        <v>0</v>
      </c>
      <c r="K63" s="14"/>
      <c r="L63" s="6" t="str">
        <f t="shared" si="43"/>
        <v>#DIV/0!</v>
      </c>
      <c r="M63" s="6" t="str">
        <f t="shared" si="44"/>
        <v>#DIV/0!</v>
      </c>
      <c r="N63" s="6"/>
    </row>
    <row r="64" collapsed="1">
      <c r="A64" s="3" t="s">
        <v>13</v>
      </c>
      <c r="B64" s="11">
        <f>B67</f>
        <v>220.984</v>
      </c>
      <c r="C64" s="10">
        <f>SUM(C65:C72)</f>
        <v>65.311</v>
      </c>
      <c r="D64" s="11">
        <v>44.16</v>
      </c>
      <c r="E64" s="5">
        <f>SUM(B64:D64)</f>
        <v>330.455</v>
      </c>
      <c r="F64" s="6">
        <f t="shared" ref="F64:H64" si="48">B64/$E64</f>
        <v>0.6687264529</v>
      </c>
      <c r="G64" s="6">
        <f t="shared" si="48"/>
        <v>0.1976396181</v>
      </c>
      <c r="H64" s="6">
        <f t="shared" si="48"/>
        <v>0.133633929</v>
      </c>
      <c r="J64" s="10">
        <f t="shared" si="42"/>
        <v>44.16</v>
      </c>
      <c r="K64" s="13">
        <f>SUM(B64:C64)</f>
        <v>286.295</v>
      </c>
      <c r="L64" s="6">
        <f t="shared" si="43"/>
        <v>0.2281248363</v>
      </c>
      <c r="M64" s="6">
        <f t="shared" si="44"/>
        <v>0.7718751637</v>
      </c>
      <c r="N64" s="6"/>
    </row>
    <row r="65" hidden="1" outlineLevel="1">
      <c r="A65" s="3" t="s">
        <v>29</v>
      </c>
      <c r="B65" s="10"/>
      <c r="C65" s="10">
        <f>53.795</f>
        <v>53.795</v>
      </c>
      <c r="D65" s="10"/>
      <c r="E65" s="5"/>
      <c r="J65" s="10">
        <f t="shared" si="42"/>
        <v>0</v>
      </c>
      <c r="K65" s="14"/>
      <c r="L65" s="6" t="str">
        <f t="shared" si="43"/>
        <v>#DIV/0!</v>
      </c>
      <c r="M65" s="6" t="str">
        <f t="shared" si="44"/>
        <v>#DIV/0!</v>
      </c>
      <c r="N65" s="6"/>
    </row>
    <row r="66" hidden="1" outlineLevel="1">
      <c r="A66" s="3" t="s">
        <v>30</v>
      </c>
      <c r="B66" s="10"/>
      <c r="C66" s="11">
        <v>-4.453</v>
      </c>
      <c r="D66" s="10"/>
      <c r="E66" s="5"/>
      <c r="J66" s="10">
        <f t="shared" si="42"/>
        <v>0</v>
      </c>
      <c r="K66" s="14"/>
      <c r="L66" s="6" t="str">
        <f t="shared" si="43"/>
        <v>#DIV/0!</v>
      </c>
      <c r="M66" s="6" t="str">
        <f t="shared" si="44"/>
        <v>#DIV/0!</v>
      </c>
      <c r="N66" s="6"/>
    </row>
    <row r="67" hidden="1" outlineLevel="1">
      <c r="A67" s="3" t="s">
        <v>31</v>
      </c>
      <c r="B67" s="11">
        <v>220.984</v>
      </c>
      <c r="C67" s="10"/>
      <c r="D67" s="10"/>
      <c r="E67" s="5"/>
      <c r="J67" s="10">
        <f t="shared" si="42"/>
        <v>0</v>
      </c>
      <c r="K67" s="14"/>
      <c r="L67" s="6" t="str">
        <f t="shared" si="43"/>
        <v>#DIV/0!</v>
      </c>
      <c r="M67" s="6" t="str">
        <f t="shared" si="44"/>
        <v>#DIV/0!</v>
      </c>
      <c r="N67" s="6"/>
    </row>
    <row r="68" hidden="1" outlineLevel="2">
      <c r="A68" s="3" t="s">
        <v>32</v>
      </c>
      <c r="B68" s="10"/>
      <c r="C68" s="10"/>
      <c r="D68" s="10"/>
      <c r="E68" s="5"/>
      <c r="J68" s="10">
        <f t="shared" si="42"/>
        <v>0</v>
      </c>
      <c r="K68" s="14"/>
      <c r="L68" s="6" t="str">
        <f t="shared" si="43"/>
        <v>#DIV/0!</v>
      </c>
      <c r="M68" s="6" t="str">
        <f t="shared" si="44"/>
        <v>#DIV/0!</v>
      </c>
      <c r="N68" s="6"/>
    </row>
    <row r="69" hidden="1" outlineLevel="2">
      <c r="A69" s="3" t="s">
        <v>33</v>
      </c>
      <c r="B69" s="10"/>
      <c r="C69" s="10"/>
      <c r="D69" s="10"/>
      <c r="E69" s="5"/>
      <c r="J69" s="10">
        <f t="shared" si="42"/>
        <v>0</v>
      </c>
      <c r="K69" s="14"/>
      <c r="L69" s="6" t="str">
        <f t="shared" si="43"/>
        <v>#DIV/0!</v>
      </c>
      <c r="M69" s="6" t="str">
        <f t="shared" si="44"/>
        <v>#DIV/0!</v>
      </c>
      <c r="N69" s="6"/>
    </row>
    <row r="70" hidden="1" outlineLevel="1">
      <c r="A70" s="3" t="s">
        <v>34</v>
      </c>
      <c r="B70" s="10"/>
      <c r="C70" s="10">
        <f>5.047</f>
        <v>5.047</v>
      </c>
      <c r="D70" s="10"/>
      <c r="E70" s="5"/>
      <c r="J70" s="10">
        <f t="shared" si="42"/>
        <v>0</v>
      </c>
      <c r="K70" s="14"/>
      <c r="L70" s="6" t="str">
        <f t="shared" si="43"/>
        <v>#DIV/0!</v>
      </c>
      <c r="M70" s="6" t="str">
        <f t="shared" si="44"/>
        <v>#DIV/0!</v>
      </c>
      <c r="N70" s="6"/>
    </row>
    <row r="71" hidden="1" outlineLevel="1">
      <c r="A71" s="3" t="s">
        <v>35</v>
      </c>
      <c r="B71" s="10"/>
      <c r="C71" s="10">
        <f>9.048</f>
        <v>9.048</v>
      </c>
      <c r="D71" s="10"/>
      <c r="E71" s="5"/>
      <c r="J71" s="10">
        <f t="shared" si="42"/>
        <v>0</v>
      </c>
      <c r="K71" s="14"/>
      <c r="L71" s="6" t="str">
        <f t="shared" si="43"/>
        <v>#DIV/0!</v>
      </c>
      <c r="M71" s="6" t="str">
        <f t="shared" si="44"/>
        <v>#DIV/0!</v>
      </c>
      <c r="N71" s="6"/>
    </row>
    <row r="72" hidden="1" outlineLevel="1">
      <c r="A72" s="3" t="s">
        <v>36</v>
      </c>
      <c r="B72" s="10"/>
      <c r="C72" s="10">
        <f>1.874</f>
        <v>1.874</v>
      </c>
      <c r="D72" s="10"/>
      <c r="E72" s="5"/>
      <c r="J72" s="10">
        <f t="shared" si="42"/>
        <v>0</v>
      </c>
      <c r="K72" s="14"/>
      <c r="L72" s="6" t="str">
        <f t="shared" si="43"/>
        <v>#DIV/0!</v>
      </c>
      <c r="M72" s="6" t="str">
        <f t="shared" si="44"/>
        <v>#DIV/0!</v>
      </c>
      <c r="N72" s="6"/>
    </row>
    <row r="73" collapsed="1">
      <c r="A73" s="3" t="s">
        <v>14</v>
      </c>
      <c r="B73" s="11">
        <f>B76</f>
        <v>218.486</v>
      </c>
      <c r="C73" s="10">
        <f>SUM(C74:C81)</f>
        <v>70.421</v>
      </c>
      <c r="D73" s="11">
        <v>45.733</v>
      </c>
      <c r="E73" s="5">
        <f>SUM(B73:D73)</f>
        <v>334.64</v>
      </c>
      <c r="F73" s="6">
        <f t="shared" ref="F73:H73" si="49">B73/$E73</f>
        <v>0.6528986373</v>
      </c>
      <c r="G73" s="6">
        <f t="shared" si="49"/>
        <v>0.2104380827</v>
      </c>
      <c r="H73" s="6">
        <f t="shared" si="49"/>
        <v>0.1366632799</v>
      </c>
      <c r="J73" s="10">
        <f t="shared" si="42"/>
        <v>45.733</v>
      </c>
      <c r="K73" s="13">
        <f>SUM(B73:C73)</f>
        <v>288.907</v>
      </c>
      <c r="L73" s="6">
        <f t="shared" si="43"/>
        <v>0.2437497188</v>
      </c>
      <c r="M73" s="6">
        <f t="shared" si="44"/>
        <v>0.7562502812</v>
      </c>
      <c r="N73" s="6"/>
    </row>
    <row r="74" hidden="1" outlineLevel="1">
      <c r="A74" s="3" t="s">
        <v>29</v>
      </c>
      <c r="B74" s="10"/>
      <c r="C74" s="10">
        <f>47.202</f>
        <v>47.202</v>
      </c>
      <c r="D74" s="10"/>
      <c r="E74" s="5"/>
      <c r="J74" s="10">
        <f t="shared" si="42"/>
        <v>0</v>
      </c>
      <c r="K74" s="14"/>
      <c r="L74" s="6" t="str">
        <f t="shared" si="43"/>
        <v>#DIV/0!</v>
      </c>
      <c r="M74" s="6" t="str">
        <f t="shared" si="44"/>
        <v>#DIV/0!</v>
      </c>
      <c r="N74" s="6"/>
    </row>
    <row r="75" hidden="1" outlineLevel="1">
      <c r="A75" s="3" t="s">
        <v>30</v>
      </c>
      <c r="B75" s="10"/>
      <c r="C75" s="11">
        <v>-2.539</v>
      </c>
      <c r="D75" s="10"/>
      <c r="E75" s="5"/>
      <c r="J75" s="10">
        <f t="shared" si="42"/>
        <v>0</v>
      </c>
      <c r="K75" s="14"/>
      <c r="L75" s="6" t="str">
        <f t="shared" si="43"/>
        <v>#DIV/0!</v>
      </c>
      <c r="M75" s="6" t="str">
        <f t="shared" si="44"/>
        <v>#DIV/0!</v>
      </c>
      <c r="N75" s="6"/>
    </row>
    <row r="76" hidden="1" outlineLevel="1">
      <c r="A76" s="3" t="s">
        <v>31</v>
      </c>
      <c r="B76" s="11">
        <v>218.486</v>
      </c>
      <c r="C76" s="10"/>
      <c r="D76" s="10"/>
      <c r="E76" s="5"/>
      <c r="J76" s="10">
        <f t="shared" si="42"/>
        <v>0</v>
      </c>
      <c r="K76" s="14"/>
      <c r="L76" s="6" t="str">
        <f t="shared" si="43"/>
        <v>#DIV/0!</v>
      </c>
      <c r="M76" s="6" t="str">
        <f t="shared" si="44"/>
        <v>#DIV/0!</v>
      </c>
      <c r="N76" s="6"/>
    </row>
    <row r="77" hidden="1" outlineLevel="2">
      <c r="A77" s="3" t="s">
        <v>32</v>
      </c>
      <c r="B77" s="10"/>
      <c r="C77" s="10"/>
      <c r="D77" s="10"/>
      <c r="E77" s="5"/>
      <c r="J77" s="10">
        <f t="shared" si="42"/>
        <v>0</v>
      </c>
      <c r="K77" s="14"/>
      <c r="L77" s="6" t="str">
        <f t="shared" si="43"/>
        <v>#DIV/0!</v>
      </c>
      <c r="M77" s="6" t="str">
        <f t="shared" si="44"/>
        <v>#DIV/0!</v>
      </c>
      <c r="N77" s="6"/>
    </row>
    <row r="78" hidden="1" outlineLevel="2">
      <c r="A78" s="3" t="s">
        <v>33</v>
      </c>
      <c r="B78" s="10"/>
      <c r="C78" s="10"/>
      <c r="D78" s="10"/>
      <c r="E78" s="5"/>
      <c r="J78" s="10">
        <f t="shared" si="42"/>
        <v>0</v>
      </c>
      <c r="K78" s="14"/>
      <c r="L78" s="6" t="str">
        <f t="shared" si="43"/>
        <v>#DIV/0!</v>
      </c>
      <c r="M78" s="6" t="str">
        <f t="shared" si="44"/>
        <v>#DIV/0!</v>
      </c>
      <c r="N78" s="6"/>
    </row>
    <row r="79" hidden="1" outlineLevel="1">
      <c r="A79" s="3" t="s">
        <v>34</v>
      </c>
      <c r="B79" s="10"/>
      <c r="C79" s="10">
        <f>5.315</f>
        <v>5.315</v>
      </c>
      <c r="D79" s="10"/>
      <c r="E79" s="5"/>
      <c r="J79" s="10">
        <f t="shared" si="42"/>
        <v>0</v>
      </c>
      <c r="K79" s="14"/>
      <c r="L79" s="6" t="str">
        <f t="shared" si="43"/>
        <v>#DIV/0!</v>
      </c>
      <c r="M79" s="6" t="str">
        <f t="shared" si="44"/>
        <v>#DIV/0!</v>
      </c>
      <c r="N79" s="6"/>
    </row>
    <row r="80" hidden="1" outlineLevel="1">
      <c r="A80" s="3" t="s">
        <v>35</v>
      </c>
      <c r="B80" s="10"/>
      <c r="C80" s="10">
        <f>9.775</f>
        <v>9.775</v>
      </c>
      <c r="D80" s="10"/>
      <c r="E80" s="5"/>
      <c r="J80" s="10">
        <f t="shared" si="42"/>
        <v>0</v>
      </c>
      <c r="K80" s="14"/>
      <c r="L80" s="6" t="str">
        <f t="shared" si="43"/>
        <v>#DIV/0!</v>
      </c>
      <c r="M80" s="6" t="str">
        <f t="shared" si="44"/>
        <v>#DIV/0!</v>
      </c>
      <c r="N80" s="6"/>
    </row>
    <row r="81" hidden="1" outlineLevel="1">
      <c r="A81" s="3" t="s">
        <v>36</v>
      </c>
      <c r="B81" s="10"/>
      <c r="C81" s="10">
        <f>10.668</f>
        <v>10.668</v>
      </c>
      <c r="D81" s="10"/>
      <c r="E81" s="5"/>
      <c r="J81" s="10">
        <f t="shared" si="42"/>
        <v>0</v>
      </c>
      <c r="K81" s="14"/>
      <c r="L81" s="6" t="str">
        <f t="shared" si="43"/>
        <v>#DIV/0!</v>
      </c>
      <c r="M81" s="6" t="str">
        <f t="shared" si="44"/>
        <v>#DIV/0!</v>
      </c>
      <c r="N81" s="6"/>
    </row>
    <row r="82" collapsed="1">
      <c r="A82" s="3" t="s">
        <v>15</v>
      </c>
      <c r="B82" s="11">
        <f>B85</f>
        <v>207.331</v>
      </c>
      <c r="C82" s="10">
        <f>SUM(C83:C90)</f>
        <v>77.786</v>
      </c>
      <c r="D82" s="11">
        <v>43.103</v>
      </c>
      <c r="E82" s="5">
        <f>SUM(B82:D82)</f>
        <v>328.22</v>
      </c>
      <c r="F82" s="6">
        <f t="shared" ref="F82:H82" si="50">B82/$E82</f>
        <v>0.6316830175</v>
      </c>
      <c r="G82" s="6">
        <f t="shared" si="50"/>
        <v>0.23699348</v>
      </c>
      <c r="H82" s="6">
        <f t="shared" si="50"/>
        <v>0.1313235025</v>
      </c>
      <c r="J82" s="10">
        <f t="shared" si="42"/>
        <v>43.103</v>
      </c>
      <c r="K82" s="13">
        <f>SUM(B82:C82)</f>
        <v>285.117</v>
      </c>
      <c r="L82" s="6">
        <f t="shared" si="43"/>
        <v>0.272821333</v>
      </c>
      <c r="M82" s="6">
        <f t="shared" si="44"/>
        <v>0.727178667</v>
      </c>
      <c r="N82" s="6"/>
    </row>
    <row r="83" hidden="1" outlineLevel="1">
      <c r="A83" s="3" t="s">
        <v>29</v>
      </c>
      <c r="B83" s="10"/>
      <c r="C83" s="10">
        <f>43.26</f>
        <v>43.26</v>
      </c>
      <c r="D83" s="10"/>
      <c r="E83" s="5"/>
      <c r="J83" s="10">
        <f t="shared" si="42"/>
        <v>0</v>
      </c>
      <c r="K83" s="14"/>
      <c r="L83" s="6" t="str">
        <f t="shared" si="43"/>
        <v>#DIV/0!</v>
      </c>
      <c r="M83" s="6" t="str">
        <f t="shared" si="44"/>
        <v>#DIV/0!</v>
      </c>
      <c r="N83" s="6"/>
    </row>
    <row r="84" hidden="1" outlineLevel="1">
      <c r="A84" s="3" t="s">
        <v>30</v>
      </c>
      <c r="B84" s="10"/>
      <c r="C84" s="11">
        <v>-2.689</v>
      </c>
      <c r="D84" s="10"/>
      <c r="E84" s="5"/>
      <c r="J84" s="10">
        <f t="shared" si="42"/>
        <v>0</v>
      </c>
      <c r="K84" s="14"/>
      <c r="L84" s="6" t="str">
        <f t="shared" si="43"/>
        <v>#DIV/0!</v>
      </c>
      <c r="M84" s="6" t="str">
        <f t="shared" si="44"/>
        <v>#DIV/0!</v>
      </c>
      <c r="N84" s="6"/>
    </row>
    <row r="85" hidden="1" outlineLevel="1" collapsed="1">
      <c r="A85" s="3" t="s">
        <v>31</v>
      </c>
      <c r="B85" s="11">
        <v>207.331</v>
      </c>
      <c r="C85" s="10"/>
      <c r="D85" s="10"/>
      <c r="E85" s="5"/>
      <c r="J85" s="10">
        <f t="shared" si="42"/>
        <v>0</v>
      </c>
      <c r="K85" s="14"/>
      <c r="L85" s="6" t="str">
        <f t="shared" si="43"/>
        <v>#DIV/0!</v>
      </c>
      <c r="M85" s="6" t="str">
        <f t="shared" si="44"/>
        <v>#DIV/0!</v>
      </c>
      <c r="N85" s="6"/>
    </row>
    <row r="86" hidden="1" outlineLevel="2">
      <c r="A86" s="3" t="s">
        <v>32</v>
      </c>
      <c r="B86" s="10"/>
      <c r="C86" s="10"/>
      <c r="D86" s="10"/>
      <c r="E86" s="5"/>
      <c r="J86" s="10">
        <f t="shared" si="42"/>
        <v>0</v>
      </c>
      <c r="K86" s="14"/>
      <c r="L86" s="6" t="str">
        <f t="shared" si="43"/>
        <v>#DIV/0!</v>
      </c>
      <c r="M86" s="6" t="str">
        <f t="shared" si="44"/>
        <v>#DIV/0!</v>
      </c>
      <c r="N86" s="6"/>
    </row>
    <row r="87" hidden="1" outlineLevel="2">
      <c r="A87" s="3" t="s">
        <v>33</v>
      </c>
      <c r="B87" s="10"/>
      <c r="C87" s="10"/>
      <c r="D87" s="10"/>
      <c r="E87" s="5"/>
      <c r="J87" s="10">
        <f t="shared" si="42"/>
        <v>0</v>
      </c>
      <c r="K87" s="14"/>
      <c r="L87" s="6" t="str">
        <f t="shared" si="43"/>
        <v>#DIV/0!</v>
      </c>
      <c r="M87" s="6" t="str">
        <f t="shared" si="44"/>
        <v>#DIV/0!</v>
      </c>
      <c r="N87" s="6"/>
    </row>
    <row r="88" hidden="1" outlineLevel="1">
      <c r="A88" s="3" t="s">
        <v>34</v>
      </c>
      <c r="B88" s="10"/>
      <c r="C88" s="10">
        <f>5.251</f>
        <v>5.251</v>
      </c>
      <c r="D88" s="10"/>
      <c r="E88" s="5"/>
      <c r="J88" s="10">
        <f t="shared" si="42"/>
        <v>0</v>
      </c>
      <c r="K88" s="14"/>
      <c r="L88" s="6" t="str">
        <f t="shared" si="43"/>
        <v>#DIV/0!</v>
      </c>
      <c r="M88" s="6" t="str">
        <f t="shared" si="44"/>
        <v>#DIV/0!</v>
      </c>
      <c r="N88" s="6"/>
    </row>
    <row r="89" hidden="1" outlineLevel="1">
      <c r="A89" s="3" t="s">
        <v>35</v>
      </c>
      <c r="B89" s="10"/>
      <c r="C89" s="10">
        <f>13.333</f>
        <v>13.333</v>
      </c>
      <c r="D89" s="10"/>
      <c r="E89" s="5"/>
      <c r="J89" s="10">
        <f t="shared" si="42"/>
        <v>0</v>
      </c>
      <c r="K89" s="14"/>
      <c r="L89" s="6" t="str">
        <f t="shared" si="43"/>
        <v>#DIV/0!</v>
      </c>
      <c r="M89" s="6" t="str">
        <f t="shared" si="44"/>
        <v>#DIV/0!</v>
      </c>
      <c r="N89" s="6"/>
    </row>
    <row r="90" hidden="1" outlineLevel="1">
      <c r="A90" s="3" t="s">
        <v>36</v>
      </c>
      <c r="B90" s="10"/>
      <c r="C90" s="10">
        <f>18.631</f>
        <v>18.631</v>
      </c>
      <c r="D90" s="10"/>
      <c r="E90" s="5"/>
      <c r="J90" s="10">
        <f t="shared" si="42"/>
        <v>0</v>
      </c>
      <c r="K90" s="14"/>
      <c r="L90" s="6" t="str">
        <f t="shared" si="43"/>
        <v>#DIV/0!</v>
      </c>
      <c r="M90" s="6" t="str">
        <f t="shared" si="44"/>
        <v>#DIV/0!</v>
      </c>
      <c r="N90" s="6"/>
    </row>
    <row r="91" collapsed="1">
      <c r="A91" s="3" t="s">
        <v>16</v>
      </c>
      <c r="B91" s="11">
        <f>B94</f>
        <v>183.404</v>
      </c>
      <c r="C91" s="10">
        <f>SUM(C92:C99)</f>
        <v>92.933</v>
      </c>
      <c r="D91" s="11">
        <v>42.138</v>
      </c>
      <c r="E91" s="5">
        <f>SUM(B91:D91)</f>
        <v>318.475</v>
      </c>
      <c r="F91" s="6">
        <f t="shared" ref="F91:H91" si="51">B91/$E91</f>
        <v>0.5758819374</v>
      </c>
      <c r="G91" s="6">
        <f t="shared" si="51"/>
        <v>0.2918062642</v>
      </c>
      <c r="H91" s="6">
        <f t="shared" si="51"/>
        <v>0.1323117984</v>
      </c>
      <c r="J91" s="10">
        <f t="shared" si="42"/>
        <v>42.138</v>
      </c>
      <c r="K91" s="13">
        <f>SUM(B91:C91)</f>
        <v>276.337</v>
      </c>
      <c r="L91" s="6">
        <f t="shared" si="43"/>
        <v>0.3363031371</v>
      </c>
      <c r="M91" s="6">
        <f t="shared" si="44"/>
        <v>0.6636968629</v>
      </c>
      <c r="N91" s="6"/>
    </row>
    <row r="92" hidden="1" outlineLevel="1">
      <c r="A92" s="3" t="s">
        <v>29</v>
      </c>
      <c r="B92" s="10"/>
      <c r="C92" s="10">
        <f>54.068</f>
        <v>54.068</v>
      </c>
      <c r="D92" s="10"/>
      <c r="E92" s="5"/>
      <c r="J92" s="10">
        <f t="shared" si="42"/>
        <v>0</v>
      </c>
      <c r="K92" s="14"/>
      <c r="L92" s="6" t="str">
        <f t="shared" si="43"/>
        <v>#DIV/0!</v>
      </c>
      <c r="M92" s="6" t="str">
        <f t="shared" si="44"/>
        <v>#DIV/0!</v>
      </c>
      <c r="N92" s="6"/>
    </row>
    <row r="93" hidden="1" outlineLevel="1">
      <c r="A93" s="3" t="s">
        <v>30</v>
      </c>
      <c r="B93" s="10"/>
      <c r="C93" s="11">
        <v>-2.495</v>
      </c>
      <c r="D93" s="10"/>
      <c r="E93" s="5"/>
      <c r="J93" s="10">
        <f t="shared" si="42"/>
        <v>0</v>
      </c>
      <c r="K93" s="14"/>
      <c r="L93" s="6" t="str">
        <f t="shared" si="43"/>
        <v>#DIV/0!</v>
      </c>
      <c r="M93" s="6" t="str">
        <f t="shared" si="44"/>
        <v>#DIV/0!</v>
      </c>
      <c r="N93" s="6"/>
    </row>
    <row r="94" hidden="1" outlineLevel="1" collapsed="1">
      <c r="A94" s="3" t="s">
        <v>31</v>
      </c>
      <c r="B94" s="11">
        <f>183.404</f>
        <v>183.404</v>
      </c>
      <c r="C94" s="10"/>
      <c r="D94" s="10"/>
      <c r="E94" s="5"/>
      <c r="J94" s="10">
        <f t="shared" si="42"/>
        <v>0</v>
      </c>
      <c r="K94" s="14"/>
      <c r="L94" s="6" t="str">
        <f t="shared" si="43"/>
        <v>#DIV/0!</v>
      </c>
      <c r="M94" s="6" t="str">
        <f t="shared" si="44"/>
        <v>#DIV/0!</v>
      </c>
      <c r="N94" s="6"/>
    </row>
    <row r="95" hidden="1" outlineLevel="2">
      <c r="A95" s="3" t="s">
        <v>32</v>
      </c>
      <c r="B95" s="10"/>
      <c r="C95" s="10"/>
      <c r="D95" s="10"/>
      <c r="E95" s="5"/>
      <c r="J95" s="10">
        <f t="shared" si="42"/>
        <v>0</v>
      </c>
      <c r="K95" s="14"/>
      <c r="L95" s="6" t="str">
        <f t="shared" si="43"/>
        <v>#DIV/0!</v>
      </c>
      <c r="M95" s="6" t="str">
        <f t="shared" si="44"/>
        <v>#DIV/0!</v>
      </c>
      <c r="N95" s="6"/>
    </row>
    <row r="96" hidden="1" outlineLevel="2">
      <c r="A96" s="3" t="s">
        <v>33</v>
      </c>
      <c r="B96" s="10"/>
      <c r="C96" s="10"/>
      <c r="D96" s="10"/>
      <c r="E96" s="5"/>
      <c r="J96" s="10">
        <f t="shared" si="42"/>
        <v>0</v>
      </c>
      <c r="K96" s="14"/>
      <c r="L96" s="6" t="str">
        <f t="shared" si="43"/>
        <v>#DIV/0!</v>
      </c>
      <c r="M96" s="6" t="str">
        <f t="shared" si="44"/>
        <v>#DIV/0!</v>
      </c>
      <c r="N96" s="6"/>
    </row>
    <row r="97" hidden="1" outlineLevel="1">
      <c r="A97" s="3" t="s">
        <v>34</v>
      </c>
      <c r="B97" s="10"/>
      <c r="C97" s="10">
        <f>5.319</f>
        <v>5.319</v>
      </c>
      <c r="D97" s="10"/>
      <c r="E97" s="5"/>
      <c r="J97" s="10">
        <f t="shared" si="42"/>
        <v>0</v>
      </c>
      <c r="K97" s="14"/>
      <c r="L97" s="6" t="str">
        <f t="shared" si="43"/>
        <v>#DIV/0!</v>
      </c>
      <c r="M97" s="6" t="str">
        <f t="shared" si="44"/>
        <v>#DIV/0!</v>
      </c>
      <c r="N97" s="6"/>
    </row>
    <row r="98" hidden="1" outlineLevel="1">
      <c r="A98" s="3" t="s">
        <v>35</v>
      </c>
      <c r="B98" s="10"/>
      <c r="C98" s="10">
        <f>14.812</f>
        <v>14.812</v>
      </c>
      <c r="D98" s="10"/>
      <c r="E98" s="5"/>
      <c r="J98" s="10">
        <f t="shared" si="42"/>
        <v>0</v>
      </c>
      <c r="K98" s="14"/>
      <c r="L98" s="6" t="str">
        <f t="shared" si="43"/>
        <v>#DIV/0!</v>
      </c>
      <c r="M98" s="6" t="str">
        <f t="shared" si="44"/>
        <v>#DIV/0!</v>
      </c>
      <c r="N98" s="6"/>
    </row>
    <row r="99" hidden="1" outlineLevel="1">
      <c r="A99" s="3" t="s">
        <v>36</v>
      </c>
      <c r="B99" s="10"/>
      <c r="C99" s="10">
        <f>21.229</f>
        <v>21.229</v>
      </c>
      <c r="D99" s="10"/>
      <c r="E99" s="5"/>
      <c r="J99" s="10">
        <f t="shared" si="42"/>
        <v>0</v>
      </c>
      <c r="K99" s="14"/>
      <c r="L99" s="6" t="str">
        <f t="shared" si="43"/>
        <v>#DIV/0!</v>
      </c>
      <c r="M99" s="6" t="str">
        <f t="shared" si="44"/>
        <v>#DIV/0!</v>
      </c>
      <c r="N99" s="6"/>
    </row>
    <row r="100" collapsed="1">
      <c r="A100" s="3" t="s">
        <v>17</v>
      </c>
      <c r="B100" s="11">
        <f>B103</f>
        <v>167.08</v>
      </c>
      <c r="C100" s="10">
        <f>SUM(C101:C108)</f>
        <v>99.739</v>
      </c>
      <c r="D100" s="11">
        <v>43.716</v>
      </c>
      <c r="E100" s="5">
        <f>SUM(B100:D100)</f>
        <v>310.535</v>
      </c>
      <c r="F100" s="6">
        <f t="shared" ref="F100:H100" si="52">B100/$E100</f>
        <v>0.5380391904</v>
      </c>
      <c r="G100" s="6">
        <f t="shared" si="52"/>
        <v>0.3211844076</v>
      </c>
      <c r="H100" s="6">
        <f t="shared" si="52"/>
        <v>0.140776402</v>
      </c>
      <c r="J100" s="10">
        <f t="shared" si="42"/>
        <v>43.716</v>
      </c>
      <c r="K100" s="13">
        <f>SUM(B100:C100)</f>
        <v>266.819</v>
      </c>
      <c r="L100" s="6">
        <f t="shared" si="43"/>
        <v>0.3738077123</v>
      </c>
      <c r="M100" s="6">
        <f t="shared" si="44"/>
        <v>0.6261922877</v>
      </c>
      <c r="N100" s="6"/>
    </row>
    <row r="101" hidden="1" outlineLevel="1">
      <c r="A101" s="3" t="s">
        <v>29</v>
      </c>
      <c r="B101" s="10"/>
      <c r="C101" s="10">
        <f>59.575</f>
        <v>59.575</v>
      </c>
      <c r="D101" s="10"/>
      <c r="E101" s="5"/>
      <c r="J101" s="10">
        <f t="shared" si="42"/>
        <v>0</v>
      </c>
      <c r="K101" s="14"/>
      <c r="L101" s="6" t="str">
        <f t="shared" si="43"/>
        <v>#DIV/0!</v>
      </c>
      <c r="M101" s="6" t="str">
        <f t="shared" si="44"/>
        <v>#DIV/0!</v>
      </c>
      <c r="N101" s="6"/>
    </row>
    <row r="102" hidden="1" outlineLevel="1">
      <c r="A102" s="3" t="s">
        <v>30</v>
      </c>
      <c r="B102" s="10"/>
      <c r="C102" s="11">
        <v>-2.329</v>
      </c>
      <c r="D102" s="10"/>
      <c r="E102" s="5"/>
      <c r="J102" s="10">
        <f t="shared" si="42"/>
        <v>0</v>
      </c>
      <c r="K102" s="14"/>
      <c r="L102" s="6" t="str">
        <f t="shared" si="43"/>
        <v>#DIV/0!</v>
      </c>
      <c r="M102" s="6" t="str">
        <f t="shared" si="44"/>
        <v>#DIV/0!</v>
      </c>
      <c r="N102" s="6"/>
    </row>
    <row r="103" hidden="1" outlineLevel="1" collapsed="1">
      <c r="A103" s="3" t="s">
        <v>31</v>
      </c>
      <c r="B103" s="11">
        <v>167.08</v>
      </c>
      <c r="C103" s="10"/>
      <c r="D103" s="10"/>
      <c r="E103" s="5"/>
      <c r="J103" s="10">
        <f t="shared" si="42"/>
        <v>0</v>
      </c>
      <c r="K103" s="14"/>
      <c r="L103" s="6" t="str">
        <f t="shared" si="43"/>
        <v>#DIV/0!</v>
      </c>
      <c r="M103" s="6" t="str">
        <f t="shared" si="44"/>
        <v>#DIV/0!</v>
      </c>
      <c r="N103" s="6"/>
    </row>
    <row r="104" hidden="1" outlineLevel="2">
      <c r="A104" s="3" t="s">
        <v>32</v>
      </c>
      <c r="B104" s="10"/>
      <c r="C104" s="10"/>
      <c r="D104" s="10"/>
      <c r="E104" s="5"/>
      <c r="J104" s="10">
        <f t="shared" si="42"/>
        <v>0</v>
      </c>
      <c r="K104" s="14"/>
      <c r="L104" s="6" t="str">
        <f t="shared" si="43"/>
        <v>#DIV/0!</v>
      </c>
      <c r="M104" s="6" t="str">
        <f t="shared" si="44"/>
        <v>#DIV/0!</v>
      </c>
      <c r="N104" s="6"/>
    </row>
    <row r="105" hidden="1" outlineLevel="2">
      <c r="A105" s="3" t="s">
        <v>33</v>
      </c>
      <c r="B105" s="10"/>
      <c r="C105" s="10"/>
      <c r="D105" s="10"/>
      <c r="E105" s="5"/>
      <c r="J105" s="10">
        <f t="shared" si="42"/>
        <v>0</v>
      </c>
      <c r="K105" s="14"/>
      <c r="L105" s="6" t="str">
        <f t="shared" si="43"/>
        <v>#DIV/0!</v>
      </c>
      <c r="M105" s="6" t="str">
        <f t="shared" si="44"/>
        <v>#DIV/0!</v>
      </c>
      <c r="N105" s="6"/>
    </row>
    <row r="106" hidden="1" outlineLevel="1">
      <c r="A106" s="3" t="s">
        <v>34</v>
      </c>
      <c r="B106" s="10"/>
      <c r="C106" s="10">
        <f>5.566</f>
        <v>5.566</v>
      </c>
      <c r="D106" s="10"/>
      <c r="E106" s="5"/>
      <c r="J106" s="10">
        <f t="shared" si="42"/>
        <v>0</v>
      </c>
      <c r="K106" s="14"/>
      <c r="L106" s="6" t="str">
        <f t="shared" si="43"/>
        <v>#DIV/0!</v>
      </c>
      <c r="M106" s="6" t="str">
        <f t="shared" si="44"/>
        <v>#DIV/0!</v>
      </c>
      <c r="N106" s="6"/>
    </row>
    <row r="107" hidden="1" outlineLevel="1">
      <c r="A107" s="3" t="s">
        <v>35</v>
      </c>
      <c r="B107" s="10"/>
      <c r="C107" s="10">
        <f>15.089</f>
        <v>15.089</v>
      </c>
      <c r="D107" s="10"/>
      <c r="E107" s="5"/>
      <c r="J107" s="10">
        <f t="shared" si="42"/>
        <v>0</v>
      </c>
      <c r="K107" s="14"/>
      <c r="L107" s="6" t="str">
        <f t="shared" si="43"/>
        <v>#DIV/0!</v>
      </c>
      <c r="M107" s="6" t="str">
        <f t="shared" si="44"/>
        <v>#DIV/0!</v>
      </c>
      <c r="N107" s="6"/>
    </row>
    <row r="108" hidden="1" outlineLevel="1">
      <c r="A108" s="3" t="s">
        <v>36</v>
      </c>
      <c r="B108" s="10"/>
      <c r="C108" s="10">
        <f>21.838</f>
        <v>21.838</v>
      </c>
      <c r="D108" s="10"/>
      <c r="E108" s="5"/>
      <c r="J108" s="10">
        <f t="shared" si="42"/>
        <v>0</v>
      </c>
      <c r="K108" s="14"/>
      <c r="L108" s="6" t="str">
        <f t="shared" si="43"/>
        <v>#DIV/0!</v>
      </c>
      <c r="M108" s="6" t="str">
        <f t="shared" si="44"/>
        <v>#DIV/0!</v>
      </c>
      <c r="N108" s="6"/>
    </row>
    <row r="109" collapsed="1">
      <c r="A109" s="3" t="s">
        <v>18</v>
      </c>
      <c r="B109" s="11">
        <f>B112</f>
        <v>164.931</v>
      </c>
      <c r="C109" s="10">
        <f>SUM(C110:C117)</f>
        <v>105.588</v>
      </c>
      <c r="D109" s="11">
        <v>46.378</v>
      </c>
      <c r="E109" s="5">
        <f>SUM(B109:D109)</f>
        <v>316.897</v>
      </c>
      <c r="F109" s="6">
        <f t="shared" ref="F109:H109" si="53">B109/$E109</f>
        <v>0.5204561735</v>
      </c>
      <c r="G109" s="6">
        <f t="shared" si="53"/>
        <v>0.3331934351</v>
      </c>
      <c r="H109" s="6">
        <f t="shared" si="53"/>
        <v>0.1463503915</v>
      </c>
      <c r="J109" s="10">
        <f t="shared" si="42"/>
        <v>46.378</v>
      </c>
      <c r="K109" s="13">
        <f>SUM(B109:C109)</f>
        <v>270.519</v>
      </c>
      <c r="L109" s="6">
        <f t="shared" si="43"/>
        <v>0.3903163918</v>
      </c>
      <c r="M109" s="6">
        <f t="shared" si="44"/>
        <v>0.6096836082</v>
      </c>
      <c r="N109" s="6"/>
    </row>
    <row r="110" hidden="1" outlineLevel="1">
      <c r="A110" s="3" t="s">
        <v>29</v>
      </c>
      <c r="B110" s="10"/>
      <c r="C110" s="10">
        <f>46.451</f>
        <v>46.451</v>
      </c>
      <c r="D110" s="10"/>
      <c r="E110" s="5"/>
      <c r="J110" s="10">
        <f t="shared" si="42"/>
        <v>0</v>
      </c>
      <c r="K110" s="14"/>
      <c r="L110" s="6" t="str">
        <f t="shared" si="43"/>
        <v>#DIV/0!</v>
      </c>
      <c r="M110" s="6" t="str">
        <f t="shared" si="44"/>
        <v>#DIV/0!</v>
      </c>
      <c r="N110" s="6"/>
    </row>
    <row r="111" hidden="1" outlineLevel="1">
      <c r="A111" s="3" t="s">
        <v>30</v>
      </c>
      <c r="B111" s="10"/>
      <c r="C111" s="11">
        <v>-1.909</v>
      </c>
      <c r="D111" s="10"/>
      <c r="E111" s="5"/>
      <c r="J111" s="10">
        <f t="shared" si="42"/>
        <v>0</v>
      </c>
      <c r="K111" s="14"/>
      <c r="L111" s="6" t="str">
        <f t="shared" si="43"/>
        <v>#DIV/0!</v>
      </c>
      <c r="M111" s="6" t="str">
        <f t="shared" si="44"/>
        <v>#DIV/0!</v>
      </c>
      <c r="N111" s="6"/>
    </row>
    <row r="112" hidden="1" outlineLevel="1" collapsed="1">
      <c r="A112" s="3" t="s">
        <v>31</v>
      </c>
      <c r="B112" s="10">
        <f>182.861-C113</f>
        <v>164.931</v>
      </c>
      <c r="C112" s="10"/>
      <c r="D112" s="10"/>
      <c r="E112" s="5"/>
      <c r="J112" s="10">
        <f t="shared" si="42"/>
        <v>0</v>
      </c>
      <c r="K112" s="14"/>
      <c r="L112" s="6" t="str">
        <f t="shared" si="43"/>
        <v>#DIV/0!</v>
      </c>
      <c r="M112" s="6" t="str">
        <f t="shared" si="44"/>
        <v>#DIV/0!</v>
      </c>
      <c r="N112" s="6"/>
    </row>
    <row r="113" hidden="1" outlineLevel="2">
      <c r="A113" s="3" t="s">
        <v>37</v>
      </c>
      <c r="B113" s="10"/>
      <c r="C113" s="10">
        <f>17.93</f>
        <v>17.93</v>
      </c>
      <c r="D113" s="10"/>
      <c r="E113" s="5"/>
      <c r="J113" s="10">
        <f t="shared" si="42"/>
        <v>0</v>
      </c>
      <c r="K113" s="14"/>
      <c r="L113" s="6" t="str">
        <f t="shared" si="43"/>
        <v>#DIV/0!</v>
      </c>
      <c r="M113" s="6" t="str">
        <f t="shared" si="44"/>
        <v>#DIV/0!</v>
      </c>
      <c r="N113" s="6"/>
    </row>
    <row r="114" hidden="1" outlineLevel="2">
      <c r="A114" s="3" t="s">
        <v>38</v>
      </c>
      <c r="B114" s="10"/>
      <c r="C114" s="10"/>
      <c r="D114" s="10"/>
      <c r="E114" s="5"/>
      <c r="J114" s="10">
        <f t="shared" si="42"/>
        <v>0</v>
      </c>
      <c r="K114" s="14"/>
      <c r="L114" s="6" t="str">
        <f t="shared" si="43"/>
        <v>#DIV/0!</v>
      </c>
      <c r="M114" s="6" t="str">
        <f t="shared" si="44"/>
        <v>#DIV/0!</v>
      </c>
      <c r="N114" s="6"/>
    </row>
    <row r="115" hidden="1" outlineLevel="1">
      <c r="A115" s="3" t="s">
        <v>34</v>
      </c>
      <c r="B115" s="10"/>
      <c r="C115" s="10">
        <f>5.824</f>
        <v>5.824</v>
      </c>
      <c r="D115" s="10"/>
      <c r="E115" s="5"/>
      <c r="J115" s="10">
        <f t="shared" si="42"/>
        <v>0</v>
      </c>
      <c r="K115" s="14"/>
      <c r="L115" s="6" t="str">
        <f t="shared" si="43"/>
        <v>#DIV/0!</v>
      </c>
      <c r="M115" s="6" t="str">
        <f t="shared" si="44"/>
        <v>#DIV/0!</v>
      </c>
      <c r="N115" s="6"/>
    </row>
    <row r="116" hidden="1" outlineLevel="1">
      <c r="A116" s="3" t="s">
        <v>35</v>
      </c>
      <c r="B116" s="10"/>
      <c r="C116" s="10">
        <f>14.705</f>
        <v>14.705</v>
      </c>
      <c r="D116" s="10"/>
      <c r="E116" s="5"/>
      <c r="J116" s="10">
        <f t="shared" si="42"/>
        <v>0</v>
      </c>
      <c r="K116" s="14"/>
      <c r="L116" s="6" t="str">
        <f t="shared" si="43"/>
        <v>#DIV/0!</v>
      </c>
      <c r="M116" s="6" t="str">
        <f t="shared" si="44"/>
        <v>#DIV/0!</v>
      </c>
      <c r="N116" s="6"/>
    </row>
    <row r="117" hidden="1" outlineLevel="1">
      <c r="A117" s="3" t="s">
        <v>36</v>
      </c>
      <c r="B117" s="10"/>
      <c r="C117" s="10">
        <f>22.587</f>
        <v>22.587</v>
      </c>
      <c r="D117" s="10"/>
      <c r="E117" s="5"/>
      <c r="J117" s="10">
        <f t="shared" si="42"/>
        <v>0</v>
      </c>
      <c r="K117" s="14"/>
      <c r="L117" s="6" t="str">
        <f t="shared" si="43"/>
        <v>#DIV/0!</v>
      </c>
      <c r="M117" s="6" t="str">
        <f t="shared" si="44"/>
        <v>#DIV/0!</v>
      </c>
      <c r="N117" s="6"/>
    </row>
    <row r="118" collapsed="1">
      <c r="A118" s="3" t="s">
        <v>19</v>
      </c>
      <c r="B118" s="11">
        <f>B121</f>
        <v>172.815</v>
      </c>
      <c r="C118" s="10">
        <f>SUM(C119:C126)</f>
        <v>104.4212</v>
      </c>
      <c r="D118" s="11">
        <v>37.026</v>
      </c>
      <c r="E118" s="5">
        <f>SUM(B118:D118)</f>
        <v>314.2622</v>
      </c>
      <c r="F118" s="6">
        <f t="shared" ref="F118:H118" si="54">B118/$E118</f>
        <v>0.5499070521</v>
      </c>
      <c r="G118" s="6">
        <f t="shared" si="54"/>
        <v>0.3322741329</v>
      </c>
      <c r="H118" s="6">
        <f t="shared" si="54"/>
        <v>0.117818815</v>
      </c>
      <c r="J118" s="10">
        <f t="shared" si="42"/>
        <v>37.026</v>
      </c>
      <c r="K118" s="13">
        <f>SUM(B118:C118)</f>
        <v>277.2362</v>
      </c>
      <c r="L118" s="6">
        <f t="shared" si="43"/>
        <v>0.3766506683</v>
      </c>
      <c r="M118" s="6">
        <f t="shared" si="44"/>
        <v>0.6233493317</v>
      </c>
      <c r="N118" s="6"/>
    </row>
    <row r="119" hidden="1" outlineLevel="1">
      <c r="A119" s="3" t="s">
        <v>29</v>
      </c>
      <c r="B119" s="10"/>
      <c r="C119" s="10">
        <f>43.785</f>
        <v>43.785</v>
      </c>
      <c r="D119" s="10"/>
      <c r="E119" s="5"/>
      <c r="J119" s="10">
        <f t="shared" si="42"/>
        <v>0</v>
      </c>
      <c r="K119" s="14"/>
      <c r="L119" s="6" t="str">
        <f t="shared" si="43"/>
        <v>#DIV/0!</v>
      </c>
      <c r="M119" s="6" t="str">
        <f t="shared" si="44"/>
        <v>#DIV/0!</v>
      </c>
      <c r="N119" s="6"/>
    </row>
    <row r="120" hidden="1" outlineLevel="1">
      <c r="A120" s="3" t="s">
        <v>30</v>
      </c>
      <c r="B120" s="10"/>
      <c r="C120" s="11">
        <v>-2.4668</v>
      </c>
      <c r="D120" s="10"/>
      <c r="E120" s="5"/>
      <c r="J120" s="10">
        <f t="shared" si="42"/>
        <v>0</v>
      </c>
      <c r="K120" s="14"/>
      <c r="L120" s="6" t="str">
        <f t="shared" si="43"/>
        <v>#DIV/0!</v>
      </c>
      <c r="M120" s="6" t="str">
        <f t="shared" si="44"/>
        <v>#DIV/0!</v>
      </c>
      <c r="N120" s="6"/>
    </row>
    <row r="121" hidden="1" outlineLevel="1" collapsed="1">
      <c r="A121" s="3" t="s">
        <v>31</v>
      </c>
      <c r="B121" s="10">
        <f>190.771-C122</f>
        <v>172.815</v>
      </c>
      <c r="C121" s="10"/>
      <c r="D121" s="10"/>
      <c r="E121" s="5"/>
      <c r="J121" s="10">
        <f t="shared" si="42"/>
        <v>0</v>
      </c>
      <c r="K121" s="14"/>
      <c r="L121" s="6" t="str">
        <f t="shared" si="43"/>
        <v>#DIV/0!</v>
      </c>
      <c r="M121" s="6" t="str">
        <f t="shared" si="44"/>
        <v>#DIV/0!</v>
      </c>
      <c r="N121" s="6"/>
    </row>
    <row r="122" hidden="1" outlineLevel="2">
      <c r="A122" s="3" t="s">
        <v>37</v>
      </c>
      <c r="B122" s="10"/>
      <c r="C122" s="11">
        <v>17.956</v>
      </c>
      <c r="D122" s="10"/>
      <c r="E122" s="5"/>
      <c r="J122" s="10">
        <f t="shared" si="42"/>
        <v>0</v>
      </c>
      <c r="K122" s="14"/>
      <c r="L122" s="6" t="str">
        <f t="shared" si="43"/>
        <v>#DIV/0!</v>
      </c>
      <c r="M122" s="6" t="str">
        <f t="shared" si="44"/>
        <v>#DIV/0!</v>
      </c>
      <c r="N122" s="6"/>
    </row>
    <row r="123" hidden="1" outlineLevel="2">
      <c r="A123" s="3" t="s">
        <v>38</v>
      </c>
      <c r="B123" s="10"/>
      <c r="C123" s="10"/>
      <c r="D123" s="10"/>
      <c r="E123" s="5"/>
      <c r="J123" s="10">
        <f t="shared" si="42"/>
        <v>0</v>
      </c>
      <c r="K123" s="14"/>
      <c r="L123" s="6" t="str">
        <f t="shared" si="43"/>
        <v>#DIV/0!</v>
      </c>
      <c r="M123" s="6" t="str">
        <f t="shared" si="44"/>
        <v>#DIV/0!</v>
      </c>
      <c r="N123" s="6"/>
    </row>
    <row r="124" hidden="1" outlineLevel="1">
      <c r="A124" s="3" t="s">
        <v>34</v>
      </c>
      <c r="B124" s="10"/>
      <c r="C124" s="10">
        <f>5.867</f>
        <v>5.867</v>
      </c>
      <c r="D124" s="10"/>
      <c r="E124" s="5"/>
      <c r="J124" s="10">
        <f t="shared" si="42"/>
        <v>0</v>
      </c>
      <c r="K124" s="14"/>
      <c r="L124" s="6" t="str">
        <f t="shared" si="43"/>
        <v>#DIV/0!</v>
      </c>
      <c r="M124" s="6" t="str">
        <f t="shared" si="44"/>
        <v>#DIV/0!</v>
      </c>
      <c r="N124" s="6"/>
    </row>
    <row r="125" hidden="1" outlineLevel="1">
      <c r="A125" s="3" t="s">
        <v>35</v>
      </c>
      <c r="B125" s="10"/>
      <c r="C125" s="10">
        <f>17.523</f>
        <v>17.523</v>
      </c>
      <c r="D125" s="10"/>
      <c r="E125" s="5"/>
      <c r="J125" s="10">
        <f t="shared" si="42"/>
        <v>0</v>
      </c>
      <c r="K125" s="14"/>
      <c r="L125" s="6" t="str">
        <f t="shared" si="43"/>
        <v>#DIV/0!</v>
      </c>
      <c r="M125" s="6" t="str">
        <f t="shared" si="44"/>
        <v>#DIV/0!</v>
      </c>
      <c r="N125" s="6"/>
    </row>
    <row r="126" hidden="1" outlineLevel="1">
      <c r="A126" s="3" t="s">
        <v>36</v>
      </c>
      <c r="B126" s="10"/>
      <c r="C126" s="10">
        <f>21.757</f>
        <v>21.757</v>
      </c>
      <c r="D126" s="10"/>
      <c r="E126" s="5"/>
      <c r="J126" s="10">
        <f t="shared" si="42"/>
        <v>0</v>
      </c>
      <c r="K126" s="14"/>
      <c r="L126" s="6" t="str">
        <f t="shared" si="43"/>
        <v>#DIV/0!</v>
      </c>
      <c r="M126" s="6" t="str">
        <f t="shared" si="44"/>
        <v>#DIV/0!</v>
      </c>
      <c r="N126" s="6"/>
    </row>
    <row r="127" collapsed="1">
      <c r="A127" s="3" t="s">
        <v>20</v>
      </c>
      <c r="B127" s="11">
        <f>B130</f>
        <v>182.487</v>
      </c>
      <c r="C127" s="10">
        <f>SUM(C128:C135)</f>
        <v>100.3</v>
      </c>
      <c r="D127" s="11">
        <v>37.761</v>
      </c>
      <c r="E127" s="5">
        <f>SUM(B127:D127)</f>
        <v>320.548</v>
      </c>
      <c r="F127" s="6">
        <f t="shared" ref="F127:H127" si="55">B127/$E127</f>
        <v>0.569296954</v>
      </c>
      <c r="G127" s="6">
        <f t="shared" si="55"/>
        <v>0.3129016559</v>
      </c>
      <c r="H127" s="6">
        <f t="shared" si="55"/>
        <v>0.1178013901</v>
      </c>
      <c r="J127" s="10">
        <f t="shared" si="42"/>
        <v>37.761</v>
      </c>
      <c r="K127" s="13">
        <f>SUM(B127:C127)</f>
        <v>282.787</v>
      </c>
      <c r="L127" s="6">
        <f t="shared" si="43"/>
        <v>0.354683914</v>
      </c>
      <c r="M127" s="6">
        <f t="shared" si="44"/>
        <v>0.645316086</v>
      </c>
      <c r="N127" s="6"/>
    </row>
    <row r="128" hidden="1" outlineLevel="1">
      <c r="A128" s="3" t="s">
        <v>29</v>
      </c>
      <c r="B128" s="10"/>
      <c r="C128" s="10">
        <f>37.557</f>
        <v>37.557</v>
      </c>
      <c r="D128" s="10"/>
      <c r="E128" s="5"/>
      <c r="J128" s="10">
        <f t="shared" si="42"/>
        <v>0</v>
      </c>
      <c r="K128" s="14"/>
      <c r="L128" s="6" t="str">
        <f t="shared" si="43"/>
        <v>#DIV/0!</v>
      </c>
      <c r="M128" s="6" t="str">
        <f t="shared" si="44"/>
        <v>#DIV/0!</v>
      </c>
      <c r="N128" s="6"/>
    </row>
    <row r="129" hidden="1" outlineLevel="1">
      <c r="A129" s="3" t="s">
        <v>30</v>
      </c>
      <c r="B129" s="10"/>
      <c r="C129" s="11">
        <v>-2.478</v>
      </c>
      <c r="D129" s="10"/>
      <c r="E129" s="5"/>
      <c r="J129" s="10">
        <f t="shared" si="42"/>
        <v>0</v>
      </c>
      <c r="K129" s="14"/>
      <c r="L129" s="6" t="str">
        <f t="shared" si="43"/>
        <v>#DIV/0!</v>
      </c>
      <c r="M129" s="6" t="str">
        <f t="shared" si="44"/>
        <v>#DIV/0!</v>
      </c>
      <c r="N129" s="6"/>
    </row>
    <row r="130" hidden="1" outlineLevel="1">
      <c r="A130" s="3" t="s">
        <v>31</v>
      </c>
      <c r="B130" s="11">
        <f>200.305-C131</f>
        <v>182.487</v>
      </c>
      <c r="C130" s="10"/>
      <c r="D130" s="10"/>
      <c r="E130" s="5"/>
      <c r="J130" s="10">
        <f t="shared" si="42"/>
        <v>0</v>
      </c>
      <c r="K130" s="14"/>
      <c r="L130" s="6" t="str">
        <f t="shared" si="43"/>
        <v>#DIV/0!</v>
      </c>
      <c r="M130" s="6" t="str">
        <f t="shared" si="44"/>
        <v>#DIV/0!</v>
      </c>
      <c r="N130" s="6"/>
    </row>
    <row r="131" hidden="1" outlineLevel="2">
      <c r="A131" s="3" t="s">
        <v>37</v>
      </c>
      <c r="B131" s="10"/>
      <c r="C131" s="11">
        <v>17.818</v>
      </c>
      <c r="D131" s="10"/>
      <c r="E131" s="5"/>
      <c r="J131" s="10">
        <f t="shared" si="42"/>
        <v>0</v>
      </c>
      <c r="K131" s="14"/>
      <c r="L131" s="6" t="str">
        <f t="shared" si="43"/>
        <v>#DIV/0!</v>
      </c>
      <c r="M131" s="6" t="str">
        <f t="shared" si="44"/>
        <v>#DIV/0!</v>
      </c>
      <c r="N131" s="6"/>
    </row>
    <row r="132" hidden="1" outlineLevel="2">
      <c r="A132" s="3" t="s">
        <v>38</v>
      </c>
      <c r="B132" s="10"/>
      <c r="C132" s="10"/>
      <c r="D132" s="10"/>
      <c r="E132" s="5"/>
      <c r="J132" s="10">
        <f t="shared" si="42"/>
        <v>0</v>
      </c>
      <c r="K132" s="14"/>
      <c r="L132" s="6" t="str">
        <f t="shared" si="43"/>
        <v>#DIV/0!</v>
      </c>
      <c r="M132" s="6" t="str">
        <f t="shared" si="44"/>
        <v>#DIV/0!</v>
      </c>
      <c r="N132" s="6"/>
    </row>
    <row r="133" hidden="1" outlineLevel="1">
      <c r="A133" s="3" t="s">
        <v>34</v>
      </c>
      <c r="B133" s="10"/>
      <c r="C133" s="10">
        <f>5.821</f>
        <v>5.821</v>
      </c>
      <c r="D133" s="10"/>
      <c r="E133" s="5"/>
      <c r="J133" s="10">
        <f t="shared" si="42"/>
        <v>0</v>
      </c>
      <c r="K133" s="14"/>
      <c r="L133" s="6" t="str">
        <f t="shared" si="43"/>
        <v>#DIV/0!</v>
      </c>
      <c r="M133" s="6" t="str">
        <f t="shared" si="44"/>
        <v>#DIV/0!</v>
      </c>
      <c r="N133" s="6"/>
    </row>
    <row r="134" hidden="1" outlineLevel="1">
      <c r="A134" s="3" t="s">
        <v>35</v>
      </c>
      <c r="B134" s="10"/>
      <c r="C134" s="10">
        <f>17.565</f>
        <v>17.565</v>
      </c>
      <c r="D134" s="10"/>
      <c r="E134" s="5"/>
      <c r="J134" s="10">
        <f t="shared" si="42"/>
        <v>0</v>
      </c>
      <c r="K134" s="14"/>
      <c r="L134" s="6" t="str">
        <f t="shared" si="43"/>
        <v>#DIV/0!</v>
      </c>
      <c r="M134" s="6" t="str">
        <f t="shared" si="44"/>
        <v>#DIV/0!</v>
      </c>
      <c r="N134" s="6"/>
    </row>
    <row r="135" hidden="1" outlineLevel="1">
      <c r="A135" s="3" t="s">
        <v>36</v>
      </c>
      <c r="B135" s="10"/>
      <c r="C135" s="10">
        <f>24.017</f>
        <v>24.017</v>
      </c>
      <c r="D135" s="10"/>
      <c r="E135" s="5"/>
      <c r="J135" s="10">
        <f t="shared" si="42"/>
        <v>0</v>
      </c>
      <c r="K135" s="14"/>
      <c r="L135" s="6" t="str">
        <f t="shared" si="43"/>
        <v>#DIV/0!</v>
      </c>
      <c r="M135" s="6" t="str">
        <f t="shared" si="44"/>
        <v>#DIV/0!</v>
      </c>
      <c r="N135" s="6"/>
    </row>
    <row r="136" collapsed="1">
      <c r="A136" s="3" t="s">
        <v>21</v>
      </c>
      <c r="B136" s="11">
        <f>B139</f>
        <v>166.737</v>
      </c>
      <c r="C136" s="10">
        <f>SUM(C137:C144)</f>
        <v>110.795</v>
      </c>
      <c r="D136" s="11">
        <v>43.899</v>
      </c>
      <c r="E136" s="5">
        <f>SUM(B136:D136)</f>
        <v>321.431</v>
      </c>
      <c r="F136" s="6">
        <f t="shared" ref="F136:H136" si="56">B136/$E136</f>
        <v>0.518733414</v>
      </c>
      <c r="G136" s="6">
        <f t="shared" si="56"/>
        <v>0.3446929512</v>
      </c>
      <c r="H136" s="6">
        <f t="shared" si="56"/>
        <v>0.1365736348</v>
      </c>
      <c r="J136" s="10">
        <f t="shared" si="42"/>
        <v>43.899</v>
      </c>
      <c r="K136" s="13">
        <f>SUM(B136:C136)</f>
        <v>277.532</v>
      </c>
      <c r="L136" s="6">
        <f t="shared" si="43"/>
        <v>0.3992152256</v>
      </c>
      <c r="M136" s="6">
        <f t="shared" si="44"/>
        <v>0.6007847744</v>
      </c>
      <c r="N136" s="6"/>
    </row>
    <row r="137" hidden="1" outlineLevel="1">
      <c r="A137" s="3" t="s">
        <v>29</v>
      </c>
      <c r="B137" s="10"/>
      <c r="C137" s="11">
        <v>49.928</v>
      </c>
      <c r="D137" s="10"/>
      <c r="E137" s="5"/>
      <c r="J137" s="10">
        <f t="shared" si="42"/>
        <v>0</v>
      </c>
      <c r="K137" s="14"/>
      <c r="L137" s="6" t="str">
        <f t="shared" si="43"/>
        <v>#DIV/0!</v>
      </c>
      <c r="M137" s="6" t="str">
        <f t="shared" si="44"/>
        <v>#DIV/0!</v>
      </c>
      <c r="N137" s="6"/>
    </row>
    <row r="138" hidden="1" outlineLevel="1">
      <c r="A138" s="3" t="s">
        <v>30</v>
      </c>
      <c r="B138" s="10"/>
      <c r="C138" s="11">
        <v>-2.313</v>
      </c>
      <c r="D138" s="10"/>
      <c r="E138" s="5"/>
      <c r="J138" s="10">
        <f t="shared" si="42"/>
        <v>0</v>
      </c>
      <c r="K138" s="14"/>
      <c r="L138" s="6" t="str">
        <f t="shared" si="43"/>
        <v>#DIV/0!</v>
      </c>
      <c r="M138" s="6" t="str">
        <f t="shared" si="44"/>
        <v>#DIV/0!</v>
      </c>
      <c r="N138" s="6"/>
    </row>
    <row r="139" hidden="1" outlineLevel="1" collapsed="1">
      <c r="A139" s="3" t="s">
        <v>31</v>
      </c>
      <c r="B139" s="11">
        <f>184.338-C140</f>
        <v>166.737</v>
      </c>
      <c r="C139" s="10"/>
      <c r="D139" s="10"/>
      <c r="E139" s="5"/>
      <c r="J139" s="10">
        <f t="shared" si="42"/>
        <v>0</v>
      </c>
      <c r="K139" s="14"/>
      <c r="L139" s="6" t="str">
        <f t="shared" si="43"/>
        <v>#DIV/0!</v>
      </c>
      <c r="M139" s="6" t="str">
        <f t="shared" si="44"/>
        <v>#DIV/0!</v>
      </c>
      <c r="N139" s="6"/>
    </row>
    <row r="140" hidden="1" outlineLevel="2">
      <c r="A140" s="3" t="s">
        <v>37</v>
      </c>
      <c r="B140" s="10"/>
      <c r="C140" s="11">
        <v>17.601</v>
      </c>
      <c r="D140" s="10"/>
      <c r="E140" s="5"/>
      <c r="J140" s="10">
        <f t="shared" si="42"/>
        <v>0</v>
      </c>
      <c r="K140" s="14"/>
      <c r="L140" s="6" t="str">
        <f t="shared" si="43"/>
        <v>#DIV/0!</v>
      </c>
      <c r="M140" s="6" t="str">
        <f t="shared" si="44"/>
        <v>#DIV/0!</v>
      </c>
      <c r="N140" s="6"/>
    </row>
    <row r="141" hidden="1" outlineLevel="2">
      <c r="A141" s="3" t="s">
        <v>38</v>
      </c>
      <c r="B141" s="10"/>
      <c r="C141" s="10"/>
      <c r="D141" s="10"/>
      <c r="E141" s="5"/>
      <c r="J141" s="10">
        <f t="shared" si="42"/>
        <v>0</v>
      </c>
      <c r="K141" s="14"/>
      <c r="L141" s="6" t="str">
        <f t="shared" si="43"/>
        <v>#DIV/0!</v>
      </c>
      <c r="M141" s="6" t="str">
        <f t="shared" si="44"/>
        <v>#DIV/0!</v>
      </c>
      <c r="N141" s="6"/>
    </row>
    <row r="142" hidden="1" outlineLevel="1">
      <c r="A142" s="3" t="s">
        <v>34</v>
      </c>
      <c r="B142" s="10"/>
      <c r="C142" s="11">
        <v>5.756</v>
      </c>
      <c r="D142" s="10"/>
      <c r="E142" s="5"/>
      <c r="J142" s="10">
        <f t="shared" si="42"/>
        <v>0</v>
      </c>
      <c r="K142" s="14"/>
      <c r="L142" s="6" t="str">
        <f t="shared" si="43"/>
        <v>#DIV/0!</v>
      </c>
      <c r="M142" s="6" t="str">
        <f t="shared" si="44"/>
        <v>#DIV/0!</v>
      </c>
      <c r="N142" s="6"/>
    </row>
    <row r="143" hidden="1" outlineLevel="1">
      <c r="A143" s="3" t="s">
        <v>35</v>
      </c>
      <c r="B143" s="10"/>
      <c r="C143" s="11">
        <v>17.557</v>
      </c>
      <c r="D143" s="10"/>
      <c r="E143" s="5"/>
      <c r="J143" s="10">
        <f t="shared" si="42"/>
        <v>0</v>
      </c>
      <c r="K143" s="14"/>
      <c r="L143" s="6" t="str">
        <f t="shared" si="43"/>
        <v>#DIV/0!</v>
      </c>
      <c r="M143" s="6" t="str">
        <f t="shared" si="44"/>
        <v>#DIV/0!</v>
      </c>
      <c r="N143" s="6"/>
    </row>
    <row r="144" hidden="1" outlineLevel="1">
      <c r="A144" s="3" t="s">
        <v>36</v>
      </c>
      <c r="B144" s="10"/>
      <c r="C144" s="11">
        <v>22.266</v>
      </c>
      <c r="D144" s="10"/>
      <c r="E144" s="5"/>
      <c r="J144" s="10">
        <f t="shared" si="42"/>
        <v>0</v>
      </c>
      <c r="K144" s="14"/>
      <c r="L144" s="6" t="str">
        <f t="shared" si="43"/>
        <v>#DIV/0!</v>
      </c>
      <c r="M144" s="6" t="str">
        <f t="shared" si="44"/>
        <v>#DIV/0!</v>
      </c>
      <c r="N144" s="6"/>
    </row>
    <row r="145" collapsed="1">
      <c r="A145" s="3" t="s">
        <v>22</v>
      </c>
      <c r="B145" s="11">
        <f>B148</f>
        <v>169.35</v>
      </c>
      <c r="C145" s="10">
        <f>SUM(C146:C153)</f>
        <v>112.131</v>
      </c>
      <c r="D145" s="11">
        <v>38.141</v>
      </c>
      <c r="E145" s="5">
        <f>SUM(B145:D145)</f>
        <v>319.622</v>
      </c>
      <c r="F145" s="6">
        <f t="shared" ref="F145:H145" si="57">B145/$E145</f>
        <v>0.529844629</v>
      </c>
      <c r="G145" s="6">
        <f t="shared" si="57"/>
        <v>0.3508237856</v>
      </c>
      <c r="H145" s="6">
        <f t="shared" si="57"/>
        <v>0.1193315854</v>
      </c>
      <c r="J145" s="10">
        <f t="shared" si="42"/>
        <v>38.141</v>
      </c>
      <c r="K145" s="13">
        <f>SUM(B145:C145)</f>
        <v>281.481</v>
      </c>
      <c r="L145" s="6">
        <f t="shared" si="43"/>
        <v>0.398360813</v>
      </c>
      <c r="M145" s="6">
        <f t="shared" si="44"/>
        <v>0.601639187</v>
      </c>
      <c r="N145" s="6"/>
    </row>
    <row r="146" hidden="1" outlineLevel="1">
      <c r="A146" s="3" t="s">
        <v>29</v>
      </c>
      <c r="B146" s="10"/>
      <c r="C146" s="11">
        <v>47.59</v>
      </c>
      <c r="D146" s="10"/>
      <c r="E146" s="5"/>
      <c r="J146" s="10">
        <f t="shared" si="42"/>
        <v>0</v>
      </c>
      <c r="K146" s="14"/>
      <c r="L146" s="6" t="str">
        <f t="shared" si="43"/>
        <v>#DIV/0!</v>
      </c>
      <c r="M146" s="6" t="str">
        <f t="shared" si="44"/>
        <v>#DIV/0!</v>
      </c>
      <c r="N146" s="6"/>
    </row>
    <row r="147" hidden="1" outlineLevel="1">
      <c r="A147" s="3" t="s">
        <v>30</v>
      </c>
      <c r="B147" s="10"/>
      <c r="C147" s="11">
        <v>-2.469</v>
      </c>
      <c r="D147" s="10"/>
      <c r="E147" s="5"/>
      <c r="J147" s="10">
        <f t="shared" si="42"/>
        <v>0</v>
      </c>
      <c r="K147" s="14"/>
      <c r="L147" s="6" t="str">
        <f t="shared" si="43"/>
        <v>#DIV/0!</v>
      </c>
      <c r="M147" s="6" t="str">
        <f t="shared" si="44"/>
        <v>#DIV/0!</v>
      </c>
      <c r="N147" s="6"/>
    </row>
    <row r="148" hidden="1" outlineLevel="1" collapsed="1">
      <c r="A148" s="3" t="s">
        <v>31</v>
      </c>
      <c r="B148" s="11">
        <f>187.317-C149</f>
        <v>169.35</v>
      </c>
      <c r="C148" s="10"/>
      <c r="D148" s="10"/>
      <c r="E148" s="5"/>
      <c r="J148" s="10">
        <f t="shared" si="42"/>
        <v>0</v>
      </c>
      <c r="K148" s="14"/>
      <c r="L148" s="6" t="str">
        <f t="shared" si="43"/>
        <v>#DIV/0!</v>
      </c>
      <c r="M148" s="6" t="str">
        <f t="shared" si="44"/>
        <v>#DIV/0!</v>
      </c>
      <c r="N148" s="6"/>
    </row>
    <row r="149" hidden="1" outlineLevel="2">
      <c r="A149" s="3" t="s">
        <v>37</v>
      </c>
      <c r="B149" s="10"/>
      <c r="C149" s="11">
        <v>17.967</v>
      </c>
      <c r="D149" s="10"/>
      <c r="E149" s="5"/>
      <c r="J149" s="10">
        <f t="shared" si="42"/>
        <v>0</v>
      </c>
      <c r="K149" s="14"/>
      <c r="L149" s="6" t="str">
        <f t="shared" si="43"/>
        <v>#DIV/0!</v>
      </c>
      <c r="M149" s="6" t="str">
        <f t="shared" si="44"/>
        <v>#DIV/0!</v>
      </c>
      <c r="N149" s="6"/>
    </row>
    <row r="150" hidden="1" outlineLevel="2">
      <c r="A150" s="3" t="s">
        <v>38</v>
      </c>
      <c r="B150" s="10"/>
      <c r="C150" s="10"/>
      <c r="D150" s="10"/>
      <c r="E150" s="5"/>
      <c r="J150" s="10">
        <f t="shared" si="42"/>
        <v>0</v>
      </c>
      <c r="K150" s="14"/>
      <c r="L150" s="6" t="str">
        <f t="shared" si="43"/>
        <v>#DIV/0!</v>
      </c>
      <c r="M150" s="6" t="str">
        <f t="shared" si="44"/>
        <v>#DIV/0!</v>
      </c>
      <c r="N150" s="6"/>
    </row>
    <row r="151" hidden="1" outlineLevel="1">
      <c r="A151" s="3" t="s">
        <v>34</v>
      </c>
      <c r="B151" s="10"/>
      <c r="C151" s="11">
        <v>5.689</v>
      </c>
      <c r="D151" s="10"/>
      <c r="E151" s="5"/>
      <c r="J151" s="10">
        <f t="shared" si="42"/>
        <v>0</v>
      </c>
      <c r="K151" s="14"/>
      <c r="L151" s="6" t="str">
        <f t="shared" si="43"/>
        <v>#DIV/0!</v>
      </c>
      <c r="M151" s="6" t="str">
        <f t="shared" si="44"/>
        <v>#DIV/0!</v>
      </c>
      <c r="N151" s="6"/>
    </row>
    <row r="152" hidden="1" outlineLevel="1">
      <c r="A152" s="3" t="s">
        <v>35</v>
      </c>
      <c r="B152" s="10"/>
      <c r="C152" s="11">
        <v>20.034</v>
      </c>
      <c r="D152" s="10"/>
      <c r="E152" s="5"/>
      <c r="J152" s="10">
        <f t="shared" si="42"/>
        <v>0</v>
      </c>
      <c r="K152" s="14"/>
      <c r="L152" s="6" t="str">
        <f t="shared" si="43"/>
        <v>#DIV/0!</v>
      </c>
      <c r="M152" s="6" t="str">
        <f t="shared" si="44"/>
        <v>#DIV/0!</v>
      </c>
      <c r="N152" s="6"/>
    </row>
    <row r="153" hidden="1" outlineLevel="1">
      <c r="A153" s="3" t="s">
        <v>36</v>
      </c>
      <c r="B153" s="10"/>
      <c r="C153" s="11">
        <v>23.32</v>
      </c>
      <c r="D153" s="10"/>
      <c r="E153" s="5"/>
      <c r="J153" s="10">
        <f t="shared" si="42"/>
        <v>0</v>
      </c>
      <c r="K153" s="14"/>
      <c r="L153" s="6" t="str">
        <f t="shared" si="43"/>
        <v>#DIV/0!</v>
      </c>
      <c r="M153" s="6" t="str">
        <f t="shared" si="44"/>
        <v>#DIV/0!</v>
      </c>
      <c r="N153" s="6"/>
    </row>
    <row r="154" collapsed="1">
      <c r="A154" s="3" t="s">
        <v>23</v>
      </c>
      <c r="B154" s="11">
        <f>B157</f>
        <v>155.825</v>
      </c>
      <c r="C154" s="10">
        <f>SUM(C155:C162)</f>
        <v>113.155</v>
      </c>
      <c r="D154" s="11">
        <v>32.2</v>
      </c>
      <c r="E154" s="5">
        <f>SUM(B154:D154)</f>
        <v>301.18</v>
      </c>
      <c r="F154" s="6">
        <f t="shared" ref="F154:H154" si="58">B154/$E154</f>
        <v>0.5173816322</v>
      </c>
      <c r="G154" s="6">
        <f t="shared" si="58"/>
        <v>0.3757055581</v>
      </c>
      <c r="H154" s="6">
        <f t="shared" si="58"/>
        <v>0.1069128096</v>
      </c>
      <c r="J154" s="10">
        <f t="shared" si="42"/>
        <v>32.2</v>
      </c>
      <c r="K154" s="13">
        <f>SUM(B154:C154)</f>
        <v>268.98</v>
      </c>
      <c r="L154" s="6">
        <f t="shared" si="43"/>
        <v>0.4206818351</v>
      </c>
      <c r="M154" s="6">
        <f t="shared" si="44"/>
        <v>0.5793181649</v>
      </c>
      <c r="N154" s="6"/>
    </row>
    <row r="155" hidden="1" outlineLevel="1">
      <c r="A155" s="3" t="s">
        <v>29</v>
      </c>
      <c r="B155" s="10"/>
      <c r="C155" s="11">
        <v>48.952</v>
      </c>
      <c r="D155" s="10"/>
      <c r="E155" s="5"/>
      <c r="J155" s="10">
        <f t="shared" si="42"/>
        <v>0</v>
      </c>
      <c r="K155" s="14"/>
      <c r="L155" s="6" t="str">
        <f t="shared" si="43"/>
        <v>#DIV/0!</v>
      </c>
      <c r="M155" s="6" t="str">
        <f t="shared" si="44"/>
        <v>#DIV/0!</v>
      </c>
      <c r="N155" s="6"/>
    </row>
    <row r="156" hidden="1" outlineLevel="1">
      <c r="A156" s="3" t="s">
        <v>30</v>
      </c>
      <c r="B156" s="10"/>
      <c r="C156" s="11">
        <v>-2.668</v>
      </c>
      <c r="D156" s="10"/>
      <c r="E156" s="5"/>
      <c r="J156" s="10">
        <f t="shared" si="42"/>
        <v>0</v>
      </c>
      <c r="K156" s="14"/>
      <c r="L156" s="6" t="str">
        <f t="shared" si="43"/>
        <v>#DIV/0!</v>
      </c>
      <c r="M156" s="6" t="str">
        <f t="shared" si="44"/>
        <v>#DIV/0!</v>
      </c>
      <c r="N156" s="6"/>
    </row>
    <row r="157" hidden="1" outlineLevel="1" collapsed="1">
      <c r="A157" s="3" t="s">
        <v>31</v>
      </c>
      <c r="B157" s="11">
        <f>173.888-C158</f>
        <v>155.825</v>
      </c>
      <c r="C157" s="10"/>
      <c r="D157" s="10"/>
      <c r="E157" s="5"/>
      <c r="J157" s="10">
        <f t="shared" si="42"/>
        <v>0</v>
      </c>
      <c r="K157" s="14"/>
      <c r="L157" s="6" t="str">
        <f t="shared" si="43"/>
        <v>#DIV/0!</v>
      </c>
      <c r="M157" s="6" t="str">
        <f t="shared" si="44"/>
        <v>#DIV/0!</v>
      </c>
      <c r="N157" s="6"/>
    </row>
    <row r="158" hidden="1" outlineLevel="2">
      <c r="A158" s="3" t="s">
        <v>37</v>
      </c>
      <c r="B158" s="10"/>
      <c r="C158" s="11">
        <v>18.063</v>
      </c>
      <c r="D158" s="10"/>
      <c r="E158" s="5"/>
      <c r="J158" s="10">
        <f t="shared" si="42"/>
        <v>0</v>
      </c>
      <c r="K158" s="14"/>
      <c r="L158" s="6" t="str">
        <f t="shared" si="43"/>
        <v>#DIV/0!</v>
      </c>
      <c r="M158" s="6" t="str">
        <f t="shared" si="44"/>
        <v>#DIV/0!</v>
      </c>
      <c r="N158" s="6"/>
    </row>
    <row r="159" hidden="1" outlineLevel="2">
      <c r="A159" s="3" t="s">
        <v>38</v>
      </c>
      <c r="B159" s="10"/>
      <c r="C159" s="10"/>
      <c r="D159" s="10"/>
      <c r="E159" s="5"/>
      <c r="J159" s="10">
        <f t="shared" si="42"/>
        <v>0</v>
      </c>
      <c r="K159" s="14"/>
      <c r="L159" s="6" t="str">
        <f t="shared" si="43"/>
        <v>#DIV/0!</v>
      </c>
      <c r="M159" s="6" t="str">
        <f t="shared" si="44"/>
        <v>#DIV/0!</v>
      </c>
      <c r="N159" s="6"/>
    </row>
    <row r="160" hidden="1" outlineLevel="1">
      <c r="A160" s="3" t="s">
        <v>34</v>
      </c>
      <c r="B160" s="10"/>
      <c r="C160" s="11">
        <v>5.647</v>
      </c>
      <c r="D160" s="10"/>
      <c r="E160" s="5"/>
      <c r="J160" s="10">
        <f t="shared" si="42"/>
        <v>0</v>
      </c>
      <c r="K160" s="14"/>
      <c r="L160" s="6" t="str">
        <f t="shared" si="43"/>
        <v>#DIV/0!</v>
      </c>
      <c r="M160" s="6" t="str">
        <f t="shared" si="44"/>
        <v>#DIV/0!</v>
      </c>
      <c r="N160" s="6"/>
    </row>
    <row r="161" hidden="1" outlineLevel="1">
      <c r="A161" s="3" t="s">
        <v>35</v>
      </c>
      <c r="B161" s="10"/>
      <c r="C161" s="11">
        <v>18.609</v>
      </c>
      <c r="D161" s="10"/>
      <c r="E161" s="5"/>
      <c r="J161" s="10">
        <f t="shared" si="42"/>
        <v>0</v>
      </c>
      <c r="K161" s="14"/>
      <c r="L161" s="6" t="str">
        <f t="shared" si="43"/>
        <v>#DIV/0!</v>
      </c>
      <c r="M161" s="6" t="str">
        <f t="shared" si="44"/>
        <v>#DIV/0!</v>
      </c>
      <c r="N161" s="6"/>
    </row>
    <row r="162" hidden="1" outlineLevel="1">
      <c r="A162" s="3" t="s">
        <v>36</v>
      </c>
      <c r="B162" s="10"/>
      <c r="C162" s="11">
        <v>24.552</v>
      </c>
      <c r="D162" s="10"/>
      <c r="E162" s="5"/>
      <c r="J162" s="10">
        <f t="shared" si="42"/>
        <v>0</v>
      </c>
      <c r="K162" s="14"/>
      <c r="L162" s="6" t="str">
        <f t="shared" si="43"/>
        <v>#DIV/0!</v>
      </c>
      <c r="M162" s="6" t="str">
        <f t="shared" si="44"/>
        <v>#DIV/0!</v>
      </c>
      <c r="N162" s="6"/>
    </row>
    <row r="163" collapsed="1">
      <c r="A163" s="3" t="s">
        <v>24</v>
      </c>
      <c r="B163" s="11">
        <f>B166+B168</f>
        <v>164.738</v>
      </c>
      <c r="C163" s="10">
        <f>SUM(C164:C171)</f>
        <v>112.391</v>
      </c>
      <c r="D163" s="11">
        <v>42.79</v>
      </c>
      <c r="E163" s="5">
        <f>SUM(B163:D163)</f>
        <v>319.919</v>
      </c>
      <c r="F163" s="6">
        <f t="shared" ref="F163:H163" si="59">B163/$E163</f>
        <v>0.5149365933</v>
      </c>
      <c r="G163" s="6">
        <f t="shared" si="59"/>
        <v>0.3513108005</v>
      </c>
      <c r="H163" s="6">
        <f t="shared" si="59"/>
        <v>0.1337526061</v>
      </c>
      <c r="J163" s="10">
        <f t="shared" si="42"/>
        <v>42.79</v>
      </c>
      <c r="K163" s="13">
        <f>SUM(B163:C163)</f>
        <v>277.129</v>
      </c>
      <c r="L163" s="6">
        <f t="shared" si="43"/>
        <v>0.4055548138</v>
      </c>
      <c r="M163" s="6">
        <f t="shared" si="44"/>
        <v>0.5944451862</v>
      </c>
      <c r="N163" s="6"/>
    </row>
    <row r="164" hidden="1" outlineLevel="1">
      <c r="A164" s="3" t="s">
        <v>29</v>
      </c>
      <c r="B164" s="10"/>
      <c r="C164" s="11">
        <v>44.878</v>
      </c>
      <c r="D164" s="10"/>
      <c r="E164" s="5"/>
      <c r="J164" s="10">
        <f t="shared" si="42"/>
        <v>0</v>
      </c>
      <c r="K164" s="14"/>
      <c r="L164" s="6" t="str">
        <f t="shared" si="43"/>
        <v>#DIV/0!</v>
      </c>
      <c r="M164" s="6" t="str">
        <f t="shared" si="44"/>
        <v>#DIV/0!</v>
      </c>
      <c r="N164" s="6"/>
    </row>
    <row r="165" hidden="1" outlineLevel="1">
      <c r="A165" s="3" t="s">
        <v>30</v>
      </c>
      <c r="B165" s="10"/>
      <c r="C165" s="11">
        <f>2.041-2.916</f>
        <v>-0.875</v>
      </c>
      <c r="D165" s="10"/>
      <c r="E165" s="5"/>
      <c r="J165" s="10">
        <f t="shared" si="42"/>
        <v>0</v>
      </c>
      <c r="K165" s="14"/>
      <c r="L165" s="6" t="str">
        <f t="shared" si="43"/>
        <v>#DIV/0!</v>
      </c>
      <c r="M165" s="6" t="str">
        <f t="shared" si="44"/>
        <v>#DIV/0!</v>
      </c>
      <c r="N165" s="6"/>
    </row>
    <row r="166" hidden="1" outlineLevel="1">
      <c r="A166" s="3" t="s">
        <v>31</v>
      </c>
      <c r="B166" s="11">
        <f>182.234-C167-B168</f>
        <v>151.87</v>
      </c>
      <c r="C166" s="10"/>
      <c r="D166" s="10"/>
      <c r="E166" s="5"/>
      <c r="J166" s="10">
        <f t="shared" si="42"/>
        <v>0</v>
      </c>
      <c r="K166" s="14"/>
      <c r="L166" s="6" t="str">
        <f t="shared" si="43"/>
        <v>#DIV/0!</v>
      </c>
      <c r="M166" s="6" t="str">
        <f t="shared" si="44"/>
        <v>#DIV/0!</v>
      </c>
      <c r="N166" s="6"/>
    </row>
    <row r="167" hidden="1" outlineLevel="2">
      <c r="A167" s="3" t="s">
        <v>37</v>
      </c>
      <c r="B167" s="10"/>
      <c r="C167" s="11">
        <v>17.496</v>
      </c>
      <c r="D167" s="10"/>
      <c r="E167" s="5"/>
      <c r="J167" s="10">
        <f t="shared" si="42"/>
        <v>0</v>
      </c>
      <c r="K167" s="14"/>
      <c r="L167" s="6" t="str">
        <f t="shared" si="43"/>
        <v>#DIV/0!</v>
      </c>
      <c r="M167" s="6" t="str">
        <f t="shared" si="44"/>
        <v>#DIV/0!</v>
      </c>
      <c r="N167" s="6"/>
    </row>
    <row r="168" hidden="1" outlineLevel="2">
      <c r="A168" s="3" t="s">
        <v>38</v>
      </c>
      <c r="B168" s="11">
        <v>12.868</v>
      </c>
      <c r="C168" s="10"/>
      <c r="D168" s="10"/>
      <c r="E168" s="5"/>
      <c r="J168" s="10">
        <f t="shared" si="42"/>
        <v>0</v>
      </c>
      <c r="K168" s="14"/>
      <c r="L168" s="6" t="str">
        <f t="shared" si="43"/>
        <v>#DIV/0!</v>
      </c>
      <c r="M168" s="6" t="str">
        <f t="shared" si="44"/>
        <v>#DIV/0!</v>
      </c>
      <c r="N168" s="6"/>
    </row>
    <row r="169" hidden="1" outlineLevel="1">
      <c r="A169" s="3" t="s">
        <v>34</v>
      </c>
      <c r="B169" s="10"/>
      <c r="C169" s="11">
        <v>5.535</v>
      </c>
      <c r="D169" s="10"/>
      <c r="E169" s="5"/>
      <c r="J169" s="10">
        <f t="shared" si="42"/>
        <v>0</v>
      </c>
      <c r="K169" s="14"/>
      <c r="L169" s="6" t="str">
        <f t="shared" si="43"/>
        <v>#DIV/0!</v>
      </c>
      <c r="M169" s="6" t="str">
        <f t="shared" si="44"/>
        <v>#DIV/0!</v>
      </c>
      <c r="N169" s="6"/>
    </row>
    <row r="170" hidden="1" outlineLevel="1">
      <c r="A170" s="3" t="s">
        <v>35</v>
      </c>
      <c r="B170" s="10"/>
      <c r="C170" s="11">
        <v>20.724</v>
      </c>
      <c r="D170" s="10"/>
      <c r="E170" s="5"/>
      <c r="J170" s="10">
        <f t="shared" si="42"/>
        <v>0</v>
      </c>
      <c r="K170" s="14"/>
      <c r="L170" s="6" t="str">
        <f t="shared" si="43"/>
        <v>#DIV/0!</v>
      </c>
      <c r="M170" s="6" t="str">
        <f t="shared" si="44"/>
        <v>#DIV/0!</v>
      </c>
      <c r="N170" s="6"/>
    </row>
    <row r="171" hidden="1" outlineLevel="1">
      <c r="A171" s="3" t="s">
        <v>36</v>
      </c>
      <c r="B171" s="10"/>
      <c r="C171" s="11">
        <v>24.633</v>
      </c>
      <c r="D171" s="10"/>
      <c r="E171" s="5"/>
      <c r="J171" s="10">
        <f t="shared" si="42"/>
        <v>0</v>
      </c>
      <c r="K171" s="14"/>
      <c r="L171" s="6" t="str">
        <f t="shared" si="43"/>
        <v>#DIV/0!</v>
      </c>
      <c r="M171" s="6" t="str">
        <f t="shared" si="44"/>
        <v>#DIV/0!</v>
      </c>
      <c r="N171" s="6"/>
    </row>
    <row r="172" collapsed="1">
      <c r="A172" s="3" t="s">
        <v>25</v>
      </c>
      <c r="B172" s="11">
        <f>B175+B177</f>
        <v>175.182</v>
      </c>
      <c r="C172" s="10">
        <f>SUM(C173:C180)</f>
        <v>96.839</v>
      </c>
      <c r="D172" s="11">
        <v>42.987</v>
      </c>
      <c r="E172" s="5">
        <f>SUM(B172:D172)</f>
        <v>315.008</v>
      </c>
      <c r="F172" s="6">
        <f t="shared" ref="F172:H172" si="60">B172/$E172</f>
        <v>0.5561192097</v>
      </c>
      <c r="G172" s="6">
        <f t="shared" si="60"/>
        <v>0.3074175894</v>
      </c>
      <c r="H172" s="6">
        <f t="shared" si="60"/>
        <v>0.1364632009</v>
      </c>
      <c r="J172" s="10">
        <f t="shared" si="42"/>
        <v>42.987</v>
      </c>
      <c r="K172" s="13">
        <f>SUM(B172:C172)</f>
        <v>272.021</v>
      </c>
      <c r="L172" s="6">
        <f t="shared" si="43"/>
        <v>0.3559982501</v>
      </c>
      <c r="M172" s="6">
        <f t="shared" si="44"/>
        <v>0.6440017499</v>
      </c>
      <c r="N172" s="6"/>
    </row>
    <row r="173" hidden="1" outlineLevel="1">
      <c r="A173" s="3" t="s">
        <v>29</v>
      </c>
      <c r="B173" s="10"/>
      <c r="C173" s="11">
        <v>28.094</v>
      </c>
      <c r="D173" s="10"/>
      <c r="E173" s="5"/>
      <c r="J173" s="10">
        <f t="shared" si="42"/>
        <v>0</v>
      </c>
      <c r="K173" s="14"/>
      <c r="L173" s="6" t="str">
        <f t="shared" si="43"/>
        <v>#DIV/0!</v>
      </c>
      <c r="M173" s="6" t="str">
        <f t="shared" si="44"/>
        <v>#DIV/0!</v>
      </c>
      <c r="N173" s="6"/>
    </row>
    <row r="174" hidden="1" outlineLevel="1">
      <c r="A174" s="3" t="s">
        <v>30</v>
      </c>
      <c r="B174" s="10"/>
      <c r="C174" s="10">
        <f>1.81-2.586</f>
        <v>-0.776</v>
      </c>
      <c r="D174" s="10"/>
      <c r="E174" s="5"/>
      <c r="J174" s="10">
        <f t="shared" si="42"/>
        <v>0</v>
      </c>
      <c r="K174" s="14"/>
      <c r="L174" s="6" t="str">
        <f t="shared" si="43"/>
        <v>#DIV/0!</v>
      </c>
      <c r="M174" s="6" t="str">
        <f t="shared" si="44"/>
        <v>#DIV/0!</v>
      </c>
      <c r="N174" s="6"/>
    </row>
    <row r="175" hidden="1" outlineLevel="1" collapsed="1">
      <c r="A175" s="3" t="s">
        <v>31</v>
      </c>
      <c r="B175" s="11">
        <f>191.276-C176-B177</f>
        <v>154.417</v>
      </c>
      <c r="C175" s="10"/>
      <c r="D175" s="10"/>
      <c r="E175" s="5"/>
      <c r="J175" s="10">
        <f t="shared" si="42"/>
        <v>0</v>
      </c>
      <c r="K175" s="14"/>
      <c r="L175" s="6" t="str">
        <f t="shared" si="43"/>
        <v>#DIV/0!</v>
      </c>
      <c r="M175" s="6" t="str">
        <f t="shared" si="44"/>
        <v>#DIV/0!</v>
      </c>
      <c r="N175" s="6"/>
    </row>
    <row r="176" hidden="1" outlineLevel="2">
      <c r="A176" s="3" t="s">
        <v>37</v>
      </c>
      <c r="B176" s="10"/>
      <c r="C176" s="11">
        <v>16.094</v>
      </c>
      <c r="D176" s="10"/>
      <c r="E176" s="5"/>
      <c r="J176" s="10">
        <f t="shared" si="42"/>
        <v>0</v>
      </c>
      <c r="K176" s="14"/>
      <c r="L176" s="6" t="str">
        <f t="shared" si="43"/>
        <v>#DIV/0!</v>
      </c>
      <c r="M176" s="6" t="str">
        <f t="shared" si="44"/>
        <v>#DIV/0!</v>
      </c>
      <c r="N176" s="6"/>
    </row>
    <row r="177" hidden="1" outlineLevel="2">
      <c r="A177" s="3" t="s">
        <v>38</v>
      </c>
      <c r="B177" s="11">
        <v>20.765</v>
      </c>
      <c r="C177" s="10"/>
      <c r="D177" s="10"/>
      <c r="E177" s="5"/>
      <c r="J177" s="10">
        <f t="shared" si="42"/>
        <v>0</v>
      </c>
      <c r="K177" s="14"/>
      <c r="L177" s="6" t="str">
        <f t="shared" si="43"/>
        <v>#DIV/0!</v>
      </c>
      <c r="M177" s="6" t="str">
        <f t="shared" si="44"/>
        <v>#DIV/0!</v>
      </c>
      <c r="N177" s="6"/>
    </row>
    <row r="178" hidden="1" outlineLevel="1">
      <c r="A178" s="3" t="s">
        <v>34</v>
      </c>
      <c r="B178" s="10"/>
      <c r="C178" s="11">
        <v>5.449</v>
      </c>
      <c r="D178" s="10"/>
      <c r="E178" s="5"/>
      <c r="J178" s="10">
        <f t="shared" si="42"/>
        <v>0</v>
      </c>
      <c r="K178" s="14"/>
      <c r="L178" s="6" t="str">
        <f t="shared" si="43"/>
        <v>#DIV/0!</v>
      </c>
      <c r="M178" s="6" t="str">
        <f t="shared" si="44"/>
        <v>#DIV/0!</v>
      </c>
      <c r="N178" s="6"/>
    </row>
    <row r="179" hidden="1" outlineLevel="1">
      <c r="A179" s="3" t="s">
        <v>35</v>
      </c>
      <c r="B179" s="10"/>
      <c r="C179" s="11">
        <v>20.304</v>
      </c>
      <c r="D179" s="10"/>
      <c r="E179" s="5"/>
      <c r="J179" s="10">
        <f t="shared" si="42"/>
        <v>0</v>
      </c>
      <c r="K179" s="14"/>
      <c r="L179" s="6" t="str">
        <f t="shared" si="43"/>
        <v>#DIV/0!</v>
      </c>
      <c r="M179" s="6" t="str">
        <f t="shared" si="44"/>
        <v>#DIV/0!</v>
      </c>
      <c r="N179" s="6"/>
    </row>
    <row r="180" hidden="1" outlineLevel="1">
      <c r="A180" s="3" t="s">
        <v>36</v>
      </c>
      <c r="B180" s="10"/>
      <c r="C180" s="11">
        <v>27.674</v>
      </c>
      <c r="D180" s="10"/>
      <c r="E180" s="5"/>
      <c r="J180" s="10">
        <f t="shared" si="42"/>
        <v>0</v>
      </c>
      <c r="K180" s="14"/>
      <c r="L180" s="6" t="str">
        <f t="shared" si="43"/>
        <v>#DIV/0!</v>
      </c>
      <c r="M180" s="6" t="str">
        <f t="shared" si="44"/>
        <v>#DIV/0!</v>
      </c>
      <c r="N180" s="6"/>
    </row>
    <row r="181" collapsed="1">
      <c r="A181" s="3" t="s">
        <v>26</v>
      </c>
      <c r="B181" s="11">
        <f>B184+B186</f>
        <v>141.585</v>
      </c>
      <c r="C181" s="10">
        <f>SUM(C182:C189)</f>
        <v>112.78</v>
      </c>
      <c r="D181" s="11">
        <v>51.251</v>
      </c>
      <c r="E181" s="5">
        <f>SUM(B181:D181)</f>
        <v>305.616</v>
      </c>
      <c r="F181" s="6">
        <f t="shared" ref="F181:H181" si="61">B181/$E181</f>
        <v>0.4632774462</v>
      </c>
      <c r="G181" s="6">
        <f t="shared" si="61"/>
        <v>0.3690251819</v>
      </c>
      <c r="H181" s="6">
        <f t="shared" si="61"/>
        <v>0.1676973719</v>
      </c>
      <c r="J181" s="10">
        <f t="shared" si="42"/>
        <v>51.251</v>
      </c>
      <c r="K181" s="13">
        <f>SUM(B181:C181)</f>
        <v>254.365</v>
      </c>
      <c r="L181" s="6">
        <f t="shared" si="43"/>
        <v>0.4433786095</v>
      </c>
      <c r="M181" s="6">
        <f t="shared" si="44"/>
        <v>0.5566213905</v>
      </c>
      <c r="N181" s="6"/>
    </row>
    <row r="182" hidden="1" outlineLevel="1">
      <c r="A182" s="3" t="s">
        <v>29</v>
      </c>
      <c r="B182" s="10"/>
      <c r="C182" s="11">
        <v>39.949</v>
      </c>
      <c r="D182" s="10"/>
      <c r="E182" s="5"/>
      <c r="J182" s="10">
        <f t="shared" si="42"/>
        <v>0</v>
      </c>
      <c r="K182" s="14"/>
      <c r="L182" s="6" t="str">
        <f t="shared" si="43"/>
        <v>#DIV/0!</v>
      </c>
      <c r="M182" s="6" t="str">
        <f t="shared" si="44"/>
        <v>#DIV/0!</v>
      </c>
      <c r="N182" s="6"/>
    </row>
    <row r="183" hidden="1" outlineLevel="1">
      <c r="A183" s="3" t="s">
        <v>30</v>
      </c>
      <c r="B183" s="10"/>
      <c r="C183" s="10">
        <f>1.53-2.186</f>
        <v>-0.656</v>
      </c>
      <c r="D183" s="10"/>
      <c r="E183" s="5"/>
      <c r="J183" s="10">
        <f t="shared" si="42"/>
        <v>0</v>
      </c>
      <c r="K183" s="14"/>
      <c r="L183" s="6" t="str">
        <f t="shared" si="43"/>
        <v>#DIV/0!</v>
      </c>
      <c r="M183" s="6" t="str">
        <f t="shared" si="44"/>
        <v>#DIV/0!</v>
      </c>
      <c r="N183" s="6"/>
    </row>
    <row r="184" hidden="1" outlineLevel="1" collapsed="1">
      <c r="A184" s="3" t="s">
        <v>31</v>
      </c>
      <c r="B184" s="11">
        <f>156.156-C185-B186</f>
        <v>129.477</v>
      </c>
      <c r="C184" s="10"/>
      <c r="D184" s="10"/>
      <c r="E184" s="5"/>
      <c r="J184" s="10">
        <f t="shared" si="42"/>
        <v>0</v>
      </c>
      <c r="K184" s="14"/>
      <c r="L184" s="6" t="str">
        <f t="shared" si="43"/>
        <v>#DIV/0!</v>
      </c>
      <c r="M184" s="6" t="str">
        <f t="shared" si="44"/>
        <v>#DIV/0!</v>
      </c>
      <c r="N184" s="6"/>
    </row>
    <row r="185" hidden="1" outlineLevel="2">
      <c r="A185" s="3" t="s">
        <v>37</v>
      </c>
      <c r="B185" s="10"/>
      <c r="C185" s="11">
        <v>14.571</v>
      </c>
      <c r="D185" s="10"/>
      <c r="E185" s="5"/>
      <c r="J185" s="10">
        <f t="shared" si="42"/>
        <v>0</v>
      </c>
      <c r="K185" s="14"/>
      <c r="L185" s="6" t="str">
        <f t="shared" si="43"/>
        <v>#DIV/0!</v>
      </c>
      <c r="M185" s="6" t="str">
        <f t="shared" si="44"/>
        <v>#DIV/0!</v>
      </c>
      <c r="N185" s="6"/>
    </row>
    <row r="186" hidden="1" outlineLevel="2">
      <c r="A186" s="3" t="s">
        <v>38</v>
      </c>
      <c r="B186" s="11">
        <v>12.108</v>
      </c>
      <c r="C186" s="10"/>
      <c r="D186" s="10"/>
      <c r="E186" s="5"/>
      <c r="J186" s="10">
        <f t="shared" si="42"/>
        <v>0</v>
      </c>
      <c r="K186" s="14"/>
      <c r="L186" s="6" t="str">
        <f t="shared" si="43"/>
        <v>#DIV/0!</v>
      </c>
      <c r="M186" s="6" t="str">
        <f t="shared" si="44"/>
        <v>#DIV/0!</v>
      </c>
      <c r="N186" s="6"/>
    </row>
    <row r="187" hidden="1" outlineLevel="1">
      <c r="A187" s="3" t="s">
        <v>34</v>
      </c>
      <c r="B187" s="10"/>
      <c r="C187" s="11">
        <v>5.31</v>
      </c>
      <c r="D187" s="10"/>
      <c r="E187" s="5"/>
      <c r="J187" s="10">
        <f t="shared" si="42"/>
        <v>0</v>
      </c>
      <c r="K187" s="14"/>
      <c r="L187" s="6" t="str">
        <f t="shared" si="43"/>
        <v>#DIV/0!</v>
      </c>
      <c r="M187" s="6" t="str">
        <f t="shared" si="44"/>
        <v>#DIV/0!</v>
      </c>
      <c r="N187" s="6"/>
    </row>
    <row r="188" hidden="1" outlineLevel="1">
      <c r="A188" s="3" t="s">
        <v>35</v>
      </c>
      <c r="B188" s="10"/>
      <c r="C188" s="11">
        <v>23.373</v>
      </c>
      <c r="D188" s="10"/>
      <c r="E188" s="5"/>
      <c r="J188" s="10">
        <f t="shared" si="42"/>
        <v>0</v>
      </c>
      <c r="K188" s="14"/>
      <c r="L188" s="6" t="str">
        <f t="shared" si="43"/>
        <v>#DIV/0!</v>
      </c>
      <c r="M188" s="6" t="str">
        <f t="shared" si="44"/>
        <v>#DIV/0!</v>
      </c>
      <c r="N188" s="6"/>
    </row>
    <row r="189" hidden="1" outlineLevel="1">
      <c r="A189" s="3" t="s">
        <v>36</v>
      </c>
      <c r="B189" s="10"/>
      <c r="C189" s="11">
        <f>30.236-0.003</f>
        <v>30.233</v>
      </c>
      <c r="D189" s="10"/>
      <c r="E189" s="5"/>
      <c r="J189" s="10">
        <f t="shared" si="42"/>
        <v>0</v>
      </c>
      <c r="K189" s="14"/>
      <c r="L189" s="6" t="str">
        <f t="shared" si="43"/>
        <v>#DIV/0!</v>
      </c>
      <c r="M189" s="6" t="str">
        <f t="shared" si="44"/>
        <v>#DIV/0!</v>
      </c>
      <c r="N189" s="6"/>
    </row>
    <row r="190" collapsed="1">
      <c r="A190" s="3" t="s">
        <v>27</v>
      </c>
      <c r="B190" s="11">
        <f>B193+B195</f>
        <v>133.268</v>
      </c>
      <c r="C190" s="10">
        <f>SUM(C191:C198)</f>
        <v>128.018</v>
      </c>
      <c r="D190" s="11">
        <v>50.999</v>
      </c>
      <c r="E190" s="5">
        <f>SUM(B190:D190)</f>
        <v>312.285</v>
      </c>
      <c r="F190" s="6">
        <f t="shared" ref="F190:H190" si="62">B190/$E190</f>
        <v>0.4267512048</v>
      </c>
      <c r="G190" s="6">
        <f t="shared" si="62"/>
        <v>0.4099396385</v>
      </c>
      <c r="H190" s="6">
        <f t="shared" si="62"/>
        <v>0.1633091567</v>
      </c>
      <c r="J190" s="10">
        <f t="shared" si="42"/>
        <v>50.999</v>
      </c>
      <c r="K190" s="13">
        <f>SUM(B190:C190)</f>
        <v>261.286</v>
      </c>
      <c r="L190" s="6">
        <f t="shared" si="43"/>
        <v>0.4899535375</v>
      </c>
      <c r="M190" s="6">
        <f t="shared" si="44"/>
        <v>0.5100464625</v>
      </c>
      <c r="N190" s="6"/>
    </row>
    <row r="191" hidden="1" outlineLevel="1">
      <c r="A191" s="3" t="s">
        <v>29</v>
      </c>
      <c r="C191" s="3">
        <v>52.076</v>
      </c>
      <c r="L191" s="6" t="str">
        <f t="shared" ref="L191:L198" si="63">$B191/$K191</f>
        <v>#DIV/0!</v>
      </c>
      <c r="M191" s="6" t="str">
        <f t="shared" ref="M191:M198" si="64">$C191/$K191</f>
        <v>#DIV/0!</v>
      </c>
    </row>
    <row r="192" hidden="1" outlineLevel="1">
      <c r="A192" s="3" t="s">
        <v>30</v>
      </c>
      <c r="C192" s="4">
        <f>1.451-2.073</f>
        <v>-0.622</v>
      </c>
      <c r="L192" s="6" t="str">
        <f t="shared" si="63"/>
        <v>#DIV/0!</v>
      </c>
      <c r="M192" s="6" t="str">
        <f t="shared" si="64"/>
        <v>#DIV/0!</v>
      </c>
    </row>
    <row r="193" hidden="1" outlineLevel="1">
      <c r="A193" s="3" t="s">
        <v>31</v>
      </c>
      <c r="B193" s="3">
        <f>146.452-C194-B195</f>
        <v>129.761</v>
      </c>
      <c r="L193" s="6" t="str">
        <f t="shared" si="63"/>
        <v>#DIV/0!</v>
      </c>
      <c r="M193" s="6" t="str">
        <f t="shared" si="64"/>
        <v>#DIV/0!</v>
      </c>
    </row>
    <row r="194" hidden="1" outlineLevel="2">
      <c r="A194" s="3" t="s">
        <v>37</v>
      </c>
      <c r="C194" s="3">
        <v>13.184</v>
      </c>
      <c r="L194" s="6" t="str">
        <f t="shared" si="63"/>
        <v>#DIV/0!</v>
      </c>
      <c r="M194" s="6" t="str">
        <f t="shared" si="64"/>
        <v>#DIV/0!</v>
      </c>
    </row>
    <row r="195" hidden="1" outlineLevel="2">
      <c r="A195" s="3" t="s">
        <v>38</v>
      </c>
      <c r="B195" s="3">
        <v>3.507</v>
      </c>
      <c r="L195" s="6" t="str">
        <f t="shared" si="63"/>
        <v>#DIV/0!</v>
      </c>
      <c r="M195" s="6" t="str">
        <f t="shared" si="64"/>
        <v>#DIV/0!</v>
      </c>
    </row>
    <row r="196" hidden="1" outlineLevel="1">
      <c r="A196" s="3" t="s">
        <v>34</v>
      </c>
      <c r="C196" s="3">
        <v>5.269</v>
      </c>
      <c r="L196" s="6" t="str">
        <f t="shared" si="63"/>
        <v>#DIV/0!</v>
      </c>
      <c r="M196" s="6" t="str">
        <f t="shared" si="64"/>
        <v>#DIV/0!</v>
      </c>
    </row>
    <row r="197" hidden="1" outlineLevel="1">
      <c r="A197" s="3" t="s">
        <v>35</v>
      </c>
      <c r="C197" s="3">
        <v>22.068</v>
      </c>
      <c r="L197" s="6" t="str">
        <f t="shared" si="63"/>
        <v>#DIV/0!</v>
      </c>
      <c r="M197" s="6" t="str">
        <f t="shared" si="64"/>
        <v>#DIV/0!</v>
      </c>
    </row>
    <row r="198" hidden="1" outlineLevel="1">
      <c r="A198" s="3" t="s">
        <v>36</v>
      </c>
      <c r="C198" s="3">
        <f>36.064-(0.141-0.12)</f>
        <v>36.043</v>
      </c>
      <c r="L198" s="6" t="str">
        <f t="shared" si="63"/>
        <v>#DIV/0!</v>
      </c>
      <c r="M198" s="6" t="str">
        <f t="shared" si="64"/>
        <v>#DIV/0!</v>
      </c>
    </row>
    <row r="199">
      <c r="L199" s="6"/>
      <c r="M199" s="6"/>
    </row>
    <row r="203">
      <c r="A203" s="3" t="s">
        <v>39</v>
      </c>
      <c r="B203" s="3" t="s">
        <v>40</v>
      </c>
    </row>
    <row r="204">
      <c r="B204" s="3" t="s">
        <v>41</v>
      </c>
    </row>
    <row r="205">
      <c r="B205" s="3" t="s">
        <v>42</v>
      </c>
    </row>
    <row r="212">
      <c r="A212" s="3" t="s">
        <v>1</v>
      </c>
      <c r="B212" s="3" t="s">
        <v>2</v>
      </c>
      <c r="C212" s="3" t="s">
        <v>3</v>
      </c>
      <c r="D212" s="3" t="s">
        <v>4</v>
      </c>
      <c r="E212" s="3" t="s">
        <v>5</v>
      </c>
      <c r="F212" s="3" t="s">
        <v>2</v>
      </c>
      <c r="G212" s="3" t="s">
        <v>3</v>
      </c>
      <c r="H212" s="3" t="s">
        <v>4</v>
      </c>
      <c r="J212" s="3" t="s">
        <v>28</v>
      </c>
      <c r="K212" s="3" t="s">
        <v>6</v>
      </c>
      <c r="L212" s="3" t="s">
        <v>7</v>
      </c>
      <c r="M212" s="3" t="s">
        <v>8</v>
      </c>
      <c r="P212" s="3" t="str">
        <f>$A$214</f>
        <v>Idroelettrica</v>
      </c>
      <c r="Q212" s="4" t="str">
        <f>$A$219</f>
        <v>Geotermica</v>
      </c>
      <c r="R212" s="4" t="str">
        <f>$A$220</f>
        <v>Eolica</v>
      </c>
      <c r="S212" s="4" t="str">
        <f>$A$221</f>
        <v>Fotovoltaica</v>
      </c>
      <c r="T212" s="4" t="str">
        <f>$A$217</f>
        <v>di cui biomasse</v>
      </c>
    </row>
    <row r="213">
      <c r="A213" s="3" t="s">
        <v>9</v>
      </c>
      <c r="B213" s="12">
        <f>B216</f>
        <v>262.167</v>
      </c>
      <c r="C213" s="12">
        <f>SUM(C214:C221)</f>
        <v>43.171</v>
      </c>
      <c r="D213" s="15">
        <v>44.985</v>
      </c>
      <c r="E213" s="12">
        <f>SUM(B213:D213)-12.864</f>
        <v>337.459</v>
      </c>
      <c r="F213" s="6">
        <f t="shared" ref="F213:H213" si="65">B213/$E213</f>
        <v>0.7768854883</v>
      </c>
      <c r="G213" s="6">
        <f t="shared" si="65"/>
        <v>0.1279296152</v>
      </c>
      <c r="H213" s="6">
        <f t="shared" si="65"/>
        <v>0.133305083</v>
      </c>
      <c r="J213" s="10">
        <f t="shared" ref="J213:J375" si="67">E213-K213</f>
        <v>32.121</v>
      </c>
      <c r="K213" s="11">
        <f>SUM(B213:C213)</f>
        <v>305.338</v>
      </c>
      <c r="L213" s="6">
        <f t="shared" ref="L213:M213" si="66">B213/$K213</f>
        <v>0.858612423</v>
      </c>
      <c r="M213" s="6">
        <f t="shared" si="66"/>
        <v>0.141387577</v>
      </c>
      <c r="O213" s="3" t="s">
        <v>9</v>
      </c>
      <c r="P213" s="10">
        <f t="shared" ref="P213:P231" si="68">INDEX($C$211:$C$381,MATCH($O213,$A$211:$A$381,0)+1)</f>
        <v>43.423</v>
      </c>
      <c r="Q213" s="10">
        <f t="shared" ref="Q213:Q231" si="69">INDEX($C$211:$C$383,MATCH($O213,$A$211:$A$383,0)+6)</f>
        <v>5.528</v>
      </c>
      <c r="R213" s="10">
        <f t="shared" ref="R213:R231" si="70">INDEX($C$211:$C$383,MATCH($O213,$A$211:$A$383,0)+7)</f>
        <v>2.973</v>
      </c>
      <c r="S213" s="3">
        <v>0.0</v>
      </c>
      <c r="T213" s="3">
        <v>0.0</v>
      </c>
    </row>
    <row r="214" outlineLevel="1">
      <c r="A214" s="3" t="s">
        <v>29</v>
      </c>
      <c r="B214" s="15"/>
      <c r="C214" s="15">
        <v>43.423</v>
      </c>
      <c r="D214" s="15"/>
      <c r="E214" s="12"/>
      <c r="F214" s="6"/>
      <c r="G214" s="6"/>
      <c r="H214" s="6"/>
      <c r="J214" s="10">
        <f t="shared" si="67"/>
        <v>0</v>
      </c>
      <c r="K214" s="11"/>
      <c r="L214" s="6"/>
      <c r="M214" s="6"/>
      <c r="O214" s="3" t="s">
        <v>10</v>
      </c>
      <c r="P214" s="10">
        <f t="shared" si="68"/>
        <v>38.481</v>
      </c>
      <c r="Q214" s="10">
        <f t="shared" si="69"/>
        <v>5.569</v>
      </c>
      <c r="R214" s="10">
        <f t="shared" si="70"/>
        <v>4.074</v>
      </c>
      <c r="S214" s="3">
        <v>0.0</v>
      </c>
      <c r="T214" s="3">
        <v>0.0</v>
      </c>
    </row>
    <row r="215" outlineLevel="1">
      <c r="A215" s="3" t="s">
        <v>30</v>
      </c>
      <c r="B215" s="15"/>
      <c r="C215" s="15">
        <v>-8.753</v>
      </c>
      <c r="D215" s="15"/>
      <c r="E215" s="12"/>
      <c r="F215" s="6"/>
      <c r="G215" s="6"/>
      <c r="H215" s="6"/>
      <c r="J215" s="10">
        <f t="shared" si="67"/>
        <v>0</v>
      </c>
      <c r="K215" s="11"/>
      <c r="L215" s="6"/>
      <c r="M215" s="6"/>
      <c r="O215" s="3" t="s">
        <v>11</v>
      </c>
      <c r="P215" s="10">
        <f t="shared" si="68"/>
        <v>47.227</v>
      </c>
      <c r="Q215" s="10">
        <f t="shared" si="69"/>
        <v>5.52</v>
      </c>
      <c r="R215" s="10">
        <f t="shared" si="70"/>
        <v>5.055</v>
      </c>
      <c r="S215" s="3">
        <v>0.0</v>
      </c>
      <c r="T215" s="3">
        <v>0.0</v>
      </c>
    </row>
    <row r="216" outlineLevel="1">
      <c r="A216" s="3" t="s">
        <v>31</v>
      </c>
      <c r="B216" s="15">
        <v>262.167</v>
      </c>
      <c r="C216" s="12"/>
      <c r="D216" s="15"/>
      <c r="E216" s="12"/>
      <c r="F216" s="6"/>
      <c r="G216" s="6"/>
      <c r="H216" s="6"/>
      <c r="J216" s="10">
        <f t="shared" si="67"/>
        <v>0</v>
      </c>
      <c r="K216" s="11"/>
      <c r="L216" s="6"/>
      <c r="M216" s="6"/>
      <c r="O216" s="3" t="s">
        <v>12</v>
      </c>
      <c r="P216" s="10">
        <f t="shared" si="68"/>
        <v>52.844</v>
      </c>
      <c r="Q216" s="10">
        <f t="shared" si="69"/>
        <v>5.015</v>
      </c>
      <c r="R216" s="10">
        <f t="shared" si="70"/>
        <v>6.484</v>
      </c>
      <c r="S216" s="10">
        <f t="shared" ref="S216:S231" si="71">INDEX($C$211:$C$383,MATCH($O216,$A$211:$A$383,0)+8)</f>
        <v>0.677</v>
      </c>
      <c r="T216" s="3">
        <v>0.0</v>
      </c>
    </row>
    <row r="217" outlineLevel="2">
      <c r="A217" s="3" t="s">
        <v>32</v>
      </c>
      <c r="B217" s="15"/>
      <c r="C217" s="12"/>
      <c r="D217" s="15"/>
      <c r="E217" s="12"/>
      <c r="F217" s="6"/>
      <c r="G217" s="6"/>
      <c r="H217" s="6"/>
      <c r="J217" s="10">
        <f t="shared" si="67"/>
        <v>0</v>
      </c>
      <c r="K217" s="11"/>
      <c r="L217" s="6"/>
      <c r="M217" s="6"/>
      <c r="O217" s="3" t="s">
        <v>13</v>
      </c>
      <c r="P217" s="10">
        <f t="shared" si="68"/>
        <v>53.795</v>
      </c>
      <c r="Q217" s="10">
        <f t="shared" si="69"/>
        <v>5.047</v>
      </c>
      <c r="R217" s="10">
        <f t="shared" si="70"/>
        <v>9.048</v>
      </c>
      <c r="S217" s="10">
        <f t="shared" si="71"/>
        <v>1.874</v>
      </c>
      <c r="T217" s="3">
        <v>0.0</v>
      </c>
    </row>
    <row r="218" outlineLevel="2">
      <c r="A218" s="3" t="s">
        <v>33</v>
      </c>
      <c r="B218" s="15"/>
      <c r="C218" s="12"/>
      <c r="D218" s="15"/>
      <c r="E218" s="12"/>
      <c r="F218" s="6"/>
      <c r="G218" s="6"/>
      <c r="H218" s="6"/>
      <c r="J218" s="10">
        <f t="shared" si="67"/>
        <v>0</v>
      </c>
      <c r="K218" s="11"/>
      <c r="L218" s="6"/>
      <c r="M218" s="6"/>
      <c r="O218" s="3" t="s">
        <v>14</v>
      </c>
      <c r="P218" s="10">
        <f t="shared" si="68"/>
        <v>47.202</v>
      </c>
      <c r="Q218" s="10">
        <f t="shared" si="69"/>
        <v>5.315</v>
      </c>
      <c r="R218" s="10">
        <f t="shared" si="70"/>
        <v>9.775</v>
      </c>
      <c r="S218" s="10">
        <f t="shared" si="71"/>
        <v>10.668</v>
      </c>
      <c r="T218" s="3">
        <v>0.0</v>
      </c>
    </row>
    <row r="219" outlineLevel="1">
      <c r="A219" s="3" t="s">
        <v>34</v>
      </c>
      <c r="B219" s="15"/>
      <c r="C219" s="12">
        <f>5.528</f>
        <v>5.528</v>
      </c>
      <c r="D219" s="15"/>
      <c r="E219" s="12"/>
      <c r="F219" s="6"/>
      <c r="G219" s="6"/>
      <c r="H219" s="6"/>
      <c r="J219" s="10">
        <f t="shared" si="67"/>
        <v>0</v>
      </c>
      <c r="K219" s="11"/>
      <c r="L219" s="6"/>
      <c r="M219" s="6"/>
      <c r="O219" s="3" t="s">
        <v>15</v>
      </c>
      <c r="P219" s="10">
        <f t="shared" si="68"/>
        <v>43.26</v>
      </c>
      <c r="Q219" s="10">
        <f t="shared" si="69"/>
        <v>5.251</v>
      </c>
      <c r="R219" s="10">
        <f t="shared" si="70"/>
        <v>13.333</v>
      </c>
      <c r="S219" s="10">
        <f t="shared" si="71"/>
        <v>18.631</v>
      </c>
      <c r="T219" s="3">
        <v>0.0</v>
      </c>
    </row>
    <row r="220" outlineLevel="1">
      <c r="A220" s="3" t="s">
        <v>35</v>
      </c>
      <c r="B220" s="15"/>
      <c r="C220" s="12">
        <f>2.973</f>
        <v>2.973</v>
      </c>
      <c r="D220" s="15"/>
      <c r="E220" s="12"/>
      <c r="F220" s="6"/>
      <c r="G220" s="6"/>
      <c r="H220" s="6"/>
      <c r="J220" s="10">
        <f t="shared" si="67"/>
        <v>0</v>
      </c>
      <c r="K220" s="11"/>
      <c r="L220" s="6"/>
      <c r="M220" s="6"/>
      <c r="O220" s="3" t="s">
        <v>16</v>
      </c>
      <c r="P220" s="10">
        <f t="shared" si="68"/>
        <v>54.068</v>
      </c>
      <c r="Q220" s="10">
        <f t="shared" si="69"/>
        <v>5.319</v>
      </c>
      <c r="R220" s="10">
        <f t="shared" si="70"/>
        <v>14.812</v>
      </c>
      <c r="S220" s="10">
        <f t="shared" si="71"/>
        <v>21.229</v>
      </c>
      <c r="T220" s="3">
        <v>0.0</v>
      </c>
    </row>
    <row r="221" outlineLevel="1">
      <c r="A221" s="3" t="s">
        <v>36</v>
      </c>
      <c r="B221" s="15"/>
      <c r="C221" s="12"/>
      <c r="D221" s="15"/>
      <c r="E221" s="12"/>
      <c r="F221" s="6"/>
      <c r="G221" s="6"/>
      <c r="H221" s="6"/>
      <c r="J221" s="10">
        <f t="shared" si="67"/>
        <v>0</v>
      </c>
      <c r="K221" s="11"/>
      <c r="L221" s="6"/>
      <c r="M221" s="6"/>
      <c r="O221" s="3" t="s">
        <v>17</v>
      </c>
      <c r="P221" s="10">
        <f t="shared" si="68"/>
        <v>59.575</v>
      </c>
      <c r="Q221" s="10">
        <f t="shared" si="69"/>
        <v>5.566</v>
      </c>
      <c r="R221" s="10">
        <f t="shared" si="70"/>
        <v>15.089</v>
      </c>
      <c r="S221" s="10">
        <f t="shared" si="71"/>
        <v>21.838</v>
      </c>
      <c r="T221" s="3">
        <v>0.0</v>
      </c>
    </row>
    <row r="222">
      <c r="A222" s="3" t="s">
        <v>10</v>
      </c>
      <c r="B222" s="12">
        <f>B225</f>
        <v>265.764</v>
      </c>
      <c r="C222" s="12">
        <f>SUM(C223:C230)</f>
        <v>40.47</v>
      </c>
      <c r="D222" s="15">
        <v>46.283</v>
      </c>
      <c r="E222" s="12">
        <f>SUM(B222:D222)-12.589</f>
        <v>339.928</v>
      </c>
      <c r="F222" s="6">
        <f>B225/$E222</f>
        <v>0.7818243863</v>
      </c>
      <c r="G222" s="6">
        <f t="shared" ref="G222:H222" si="72">C222/$E222</f>
        <v>0.1190546233</v>
      </c>
      <c r="H222" s="6">
        <f t="shared" si="72"/>
        <v>0.1361553035</v>
      </c>
      <c r="J222" s="10">
        <f t="shared" si="67"/>
        <v>33.694</v>
      </c>
      <c r="K222" s="11">
        <f>SUM(B222:C222)</f>
        <v>306.234</v>
      </c>
      <c r="L222" s="6">
        <f>B225/$K222</f>
        <v>0.8678461569</v>
      </c>
      <c r="M222" s="6">
        <f>C222/$K222</f>
        <v>0.1321538431</v>
      </c>
      <c r="O222" s="3" t="s">
        <v>18</v>
      </c>
      <c r="P222" s="10">
        <f t="shared" si="68"/>
        <v>46.451</v>
      </c>
      <c r="Q222" s="10">
        <f t="shared" si="69"/>
        <v>5.824</v>
      </c>
      <c r="R222" s="10">
        <f t="shared" si="70"/>
        <v>14.705</v>
      </c>
      <c r="S222" s="10">
        <f t="shared" si="71"/>
        <v>22.587</v>
      </c>
      <c r="T222" s="10">
        <f t="shared" ref="T222:T231" si="73">INDEX($C$211:$C$381,MATCH($O222,$A$211:$A$381,0)+4)</f>
        <v>17.93</v>
      </c>
    </row>
    <row r="223" outlineLevel="1">
      <c r="A223" s="3" t="s">
        <v>29</v>
      </c>
      <c r="B223" s="12"/>
      <c r="C223" s="15">
        <v>38.481</v>
      </c>
      <c r="D223" s="12"/>
      <c r="E223" s="12"/>
      <c r="J223" s="10">
        <f t="shared" si="67"/>
        <v>0</v>
      </c>
      <c r="K223" s="10"/>
      <c r="O223" s="3" t="s">
        <v>19</v>
      </c>
      <c r="P223" s="10">
        <f t="shared" si="68"/>
        <v>43.785</v>
      </c>
      <c r="Q223" s="10">
        <f t="shared" si="69"/>
        <v>5.867</v>
      </c>
      <c r="R223" s="10">
        <f t="shared" si="70"/>
        <v>17.523</v>
      </c>
      <c r="S223" s="10">
        <f t="shared" si="71"/>
        <v>21.757</v>
      </c>
      <c r="T223" s="10">
        <f t="shared" si="73"/>
        <v>17.956</v>
      </c>
    </row>
    <row r="224" outlineLevel="1">
      <c r="A224" s="3" t="s">
        <v>30</v>
      </c>
      <c r="B224" s="12"/>
      <c r="C224" s="15">
        <v>-7.654</v>
      </c>
      <c r="D224" s="12"/>
      <c r="E224" s="12"/>
      <c r="J224" s="10">
        <f t="shared" si="67"/>
        <v>0</v>
      </c>
      <c r="K224" s="10"/>
      <c r="O224" s="3" t="s">
        <v>20</v>
      </c>
      <c r="P224" s="10">
        <f t="shared" si="68"/>
        <v>37.557</v>
      </c>
      <c r="Q224" s="10">
        <f t="shared" si="69"/>
        <v>5.821</v>
      </c>
      <c r="R224" s="10">
        <f t="shared" si="70"/>
        <v>17.565</v>
      </c>
      <c r="S224" s="10">
        <f t="shared" si="71"/>
        <v>24.017</v>
      </c>
      <c r="T224" s="10">
        <f t="shared" si="73"/>
        <v>17.818</v>
      </c>
    </row>
    <row r="225" outlineLevel="1">
      <c r="A225" s="3" t="s">
        <v>31</v>
      </c>
      <c r="B225" s="15">
        <v>265.764</v>
      </c>
      <c r="C225" s="12"/>
      <c r="D225" s="12"/>
      <c r="E225" s="12"/>
      <c r="J225" s="10">
        <f t="shared" si="67"/>
        <v>0</v>
      </c>
      <c r="K225" s="10"/>
      <c r="O225" s="3" t="s">
        <v>21</v>
      </c>
      <c r="P225" s="10">
        <f t="shared" si="68"/>
        <v>49.928</v>
      </c>
      <c r="Q225" s="10">
        <f t="shared" si="69"/>
        <v>5.756</v>
      </c>
      <c r="R225" s="10">
        <f t="shared" si="70"/>
        <v>17.557</v>
      </c>
      <c r="S225" s="10">
        <f t="shared" si="71"/>
        <v>22.266</v>
      </c>
      <c r="T225" s="10">
        <f t="shared" si="73"/>
        <v>17.601</v>
      </c>
    </row>
    <row r="226" outlineLevel="2">
      <c r="A226" s="3" t="s">
        <v>32</v>
      </c>
      <c r="B226" s="12"/>
      <c r="C226" s="12"/>
      <c r="D226" s="12"/>
      <c r="E226" s="12"/>
      <c r="J226" s="10">
        <f t="shared" si="67"/>
        <v>0</v>
      </c>
      <c r="K226" s="10"/>
      <c r="O226" s="3" t="s">
        <v>22</v>
      </c>
      <c r="P226" s="10">
        <f t="shared" si="68"/>
        <v>47.59</v>
      </c>
      <c r="Q226" s="10">
        <f t="shared" si="69"/>
        <v>5.689</v>
      </c>
      <c r="R226" s="10">
        <f t="shared" si="70"/>
        <v>20.034</v>
      </c>
      <c r="S226" s="10">
        <f t="shared" si="71"/>
        <v>23.32</v>
      </c>
      <c r="T226" s="10">
        <f t="shared" si="73"/>
        <v>17.967</v>
      </c>
    </row>
    <row r="227" outlineLevel="2">
      <c r="A227" s="3" t="s">
        <v>33</v>
      </c>
      <c r="B227" s="12"/>
      <c r="C227" s="12"/>
      <c r="D227" s="12"/>
      <c r="E227" s="12"/>
      <c r="J227" s="10">
        <f t="shared" si="67"/>
        <v>0</v>
      </c>
      <c r="K227" s="10"/>
      <c r="O227" s="3" t="s">
        <v>23</v>
      </c>
      <c r="P227" s="10">
        <f t="shared" si="68"/>
        <v>48.952</v>
      </c>
      <c r="Q227" s="10">
        <f t="shared" si="69"/>
        <v>5.647</v>
      </c>
      <c r="R227" s="10">
        <f t="shared" si="70"/>
        <v>18.609</v>
      </c>
      <c r="S227" s="10">
        <f t="shared" si="71"/>
        <v>24.552</v>
      </c>
      <c r="T227" s="10">
        <f t="shared" si="73"/>
        <v>18.063</v>
      </c>
    </row>
    <row r="228" outlineLevel="1">
      <c r="A228" s="3" t="s">
        <v>34</v>
      </c>
      <c r="B228" s="12"/>
      <c r="C228" s="15">
        <v>5.569</v>
      </c>
      <c r="D228" s="12"/>
      <c r="E228" s="12"/>
      <c r="J228" s="10">
        <f t="shared" si="67"/>
        <v>0</v>
      </c>
      <c r="K228" s="10"/>
      <c r="O228" s="3" t="s">
        <v>24</v>
      </c>
      <c r="P228" s="10">
        <f t="shared" si="68"/>
        <v>44.878</v>
      </c>
      <c r="Q228" s="10">
        <f t="shared" si="69"/>
        <v>5.535</v>
      </c>
      <c r="R228" s="10">
        <f t="shared" si="70"/>
        <v>20.724</v>
      </c>
      <c r="S228" s="10">
        <f t="shared" si="71"/>
        <v>24.633</v>
      </c>
      <c r="T228" s="10">
        <f t="shared" si="73"/>
        <v>17.496</v>
      </c>
    </row>
    <row r="229" outlineLevel="1">
      <c r="A229" s="3" t="s">
        <v>35</v>
      </c>
      <c r="B229" s="12"/>
      <c r="C229" s="15">
        <v>4.074</v>
      </c>
      <c r="D229" s="12"/>
      <c r="E229" s="12"/>
      <c r="J229" s="10">
        <f t="shared" si="67"/>
        <v>0</v>
      </c>
      <c r="K229" s="10"/>
      <c r="O229" s="3" t="s">
        <v>25</v>
      </c>
      <c r="P229" s="10">
        <f t="shared" si="68"/>
        <v>28.094</v>
      </c>
      <c r="Q229" s="10">
        <f t="shared" si="69"/>
        <v>5.449</v>
      </c>
      <c r="R229" s="10">
        <f t="shared" si="70"/>
        <v>20.304</v>
      </c>
      <c r="S229" s="10">
        <f t="shared" si="71"/>
        <v>27.674</v>
      </c>
      <c r="T229" s="10">
        <f t="shared" si="73"/>
        <v>16.094</v>
      </c>
    </row>
    <row r="230" outlineLevel="1">
      <c r="A230" s="3" t="s">
        <v>36</v>
      </c>
      <c r="B230" s="12"/>
      <c r="C230" s="12"/>
      <c r="D230" s="12"/>
      <c r="E230" s="12"/>
      <c r="J230" s="10">
        <f t="shared" si="67"/>
        <v>0</v>
      </c>
      <c r="K230" s="10"/>
      <c r="O230" s="3" t="s">
        <v>26</v>
      </c>
      <c r="P230" s="10">
        <f t="shared" si="68"/>
        <v>39.949</v>
      </c>
      <c r="Q230" s="10">
        <f t="shared" si="69"/>
        <v>5.31</v>
      </c>
      <c r="R230" s="10">
        <f t="shared" si="70"/>
        <v>23.373</v>
      </c>
      <c r="S230" s="10">
        <f t="shared" si="71"/>
        <v>30.233</v>
      </c>
      <c r="T230" s="10">
        <f t="shared" si="73"/>
        <v>14.571</v>
      </c>
    </row>
    <row r="231">
      <c r="A231" s="3" t="s">
        <v>11</v>
      </c>
      <c r="B231" s="12">
        <f>B234</f>
        <v>261.328</v>
      </c>
      <c r="C231" s="12">
        <f>SUM(C232:C239)</f>
        <v>50.184</v>
      </c>
      <c r="D231" s="15">
        <v>40.034</v>
      </c>
      <c r="E231" s="12">
        <f>SUM(B231:D231)-12.065</f>
        <v>339.481</v>
      </c>
      <c r="F231" s="6">
        <f t="shared" ref="F231:H231" si="74">B231/$E231</f>
        <v>0.7697868216</v>
      </c>
      <c r="G231" s="6">
        <f t="shared" si="74"/>
        <v>0.1478256515</v>
      </c>
      <c r="H231" s="6">
        <f t="shared" si="74"/>
        <v>0.117927071</v>
      </c>
      <c r="J231" s="10">
        <f t="shared" si="67"/>
        <v>27.969</v>
      </c>
      <c r="K231" s="11">
        <f>SUM(B231:C231)</f>
        <v>311.512</v>
      </c>
      <c r="L231" s="6">
        <f t="shared" ref="L231:M231" si="75">B231/$K231</f>
        <v>0.8389018722</v>
      </c>
      <c r="M231" s="6">
        <f t="shared" si="75"/>
        <v>0.1610981278</v>
      </c>
      <c r="O231" s="3" t="s">
        <v>27</v>
      </c>
      <c r="P231" s="10">
        <f t="shared" si="68"/>
        <v>52.076</v>
      </c>
      <c r="Q231" s="10">
        <f t="shared" si="69"/>
        <v>5.269</v>
      </c>
      <c r="R231" s="10">
        <f t="shared" si="70"/>
        <v>22.068</v>
      </c>
      <c r="S231" s="10">
        <f t="shared" si="71"/>
        <v>36.043</v>
      </c>
      <c r="T231" s="10">
        <f t="shared" si="73"/>
        <v>13.184</v>
      </c>
    </row>
    <row r="232" outlineLevel="1">
      <c r="A232" s="3" t="s">
        <v>29</v>
      </c>
      <c r="B232" s="12"/>
      <c r="C232" s="12">
        <f>47.227</f>
        <v>47.227</v>
      </c>
      <c r="D232" s="12"/>
      <c r="E232" s="12"/>
      <c r="J232" s="10">
        <f t="shared" si="67"/>
        <v>0</v>
      </c>
      <c r="K232" s="10"/>
      <c r="Q232" s="12" t="str">
        <f t="array" ref="Q232">INDEX($C$211:$C$381,MATCH($O$213,$A$211:$A$381,0)+4)</f>
        <v/>
      </c>
    </row>
    <row r="233" outlineLevel="1">
      <c r="A233" s="3" t="s">
        <v>30</v>
      </c>
      <c r="B233" s="12"/>
      <c r="C233" s="15">
        <v>-7.618</v>
      </c>
      <c r="D233" s="12"/>
      <c r="E233" s="12"/>
      <c r="J233" s="10">
        <f t="shared" si="67"/>
        <v>0</v>
      </c>
      <c r="K233" s="10"/>
    </row>
    <row r="234" outlineLevel="1">
      <c r="A234" s="3" t="s">
        <v>31</v>
      </c>
      <c r="B234" s="15">
        <v>261.328</v>
      </c>
      <c r="C234" s="12"/>
      <c r="D234" s="12"/>
      <c r="E234" s="12"/>
      <c r="J234" s="10">
        <f t="shared" si="67"/>
        <v>0</v>
      </c>
      <c r="K234" s="10"/>
    </row>
    <row r="235" outlineLevel="2">
      <c r="A235" s="3" t="s">
        <v>32</v>
      </c>
      <c r="B235" s="12"/>
      <c r="C235" s="12"/>
      <c r="D235" s="12"/>
      <c r="E235" s="12"/>
      <c r="J235" s="10">
        <f t="shared" si="67"/>
        <v>0</v>
      </c>
      <c r="K235" s="10"/>
    </row>
    <row r="236" outlineLevel="2">
      <c r="A236" s="3" t="s">
        <v>33</v>
      </c>
      <c r="B236" s="12"/>
      <c r="C236" s="12"/>
      <c r="D236" s="12"/>
      <c r="E236" s="12"/>
      <c r="J236" s="10">
        <f t="shared" si="67"/>
        <v>0</v>
      </c>
      <c r="K236" s="10"/>
    </row>
    <row r="237" outlineLevel="1">
      <c r="A237" s="3" t="s">
        <v>34</v>
      </c>
      <c r="B237" s="12"/>
      <c r="C237" s="12">
        <f>5.52</f>
        <v>5.52</v>
      </c>
      <c r="D237" s="12"/>
      <c r="E237" s="12"/>
      <c r="J237" s="10">
        <f t="shared" si="67"/>
        <v>0</v>
      </c>
      <c r="K237" s="10"/>
    </row>
    <row r="238" outlineLevel="1">
      <c r="A238" s="3" t="s">
        <v>35</v>
      </c>
      <c r="B238" s="12"/>
      <c r="C238" s="12">
        <f>5.055</f>
        <v>5.055</v>
      </c>
      <c r="D238" s="12"/>
      <c r="E238" s="12"/>
      <c r="J238" s="10">
        <f t="shared" si="67"/>
        <v>0</v>
      </c>
      <c r="K238" s="10"/>
    </row>
    <row r="239" outlineLevel="1">
      <c r="A239" s="3" t="s">
        <v>36</v>
      </c>
      <c r="B239" s="12"/>
      <c r="C239" s="12"/>
      <c r="D239" s="12"/>
      <c r="E239" s="12"/>
      <c r="J239" s="10">
        <f t="shared" si="67"/>
        <v>0</v>
      </c>
      <c r="K239" s="10"/>
    </row>
    <row r="240">
      <c r="A240" s="3" t="s">
        <v>12</v>
      </c>
      <c r="B240" s="11">
        <f>B243</f>
        <v>216.087</v>
      </c>
      <c r="C240" s="10">
        <f>SUM(C241:C248)</f>
        <v>59.222</v>
      </c>
      <c r="D240" s="11">
        <v>44.959</v>
      </c>
      <c r="E240" s="10">
        <f>SUM(B240:D240)</f>
        <v>320.268</v>
      </c>
      <c r="F240" s="6">
        <f t="shared" ref="F240:H240" si="76">B240/$E240</f>
        <v>0.674706808</v>
      </c>
      <c r="G240" s="6">
        <f t="shared" si="76"/>
        <v>0.1849138846</v>
      </c>
      <c r="H240" s="6">
        <f t="shared" si="76"/>
        <v>0.1403793073</v>
      </c>
      <c r="J240" s="10">
        <f t="shared" si="67"/>
        <v>44.959</v>
      </c>
      <c r="K240" s="11">
        <f>SUM(B240:C240)</f>
        <v>275.309</v>
      </c>
      <c r="L240" s="6">
        <f t="shared" ref="L240:M240" si="77">B240/$K240</f>
        <v>0.7848889793</v>
      </c>
      <c r="M240" s="6">
        <f t="shared" si="77"/>
        <v>0.2151110207</v>
      </c>
    </row>
    <row r="241" outlineLevel="1">
      <c r="A241" s="3" t="s">
        <v>29</v>
      </c>
      <c r="B241" s="10"/>
      <c r="C241" s="10">
        <f>52.844</f>
        <v>52.844</v>
      </c>
      <c r="D241" s="10"/>
      <c r="E241" s="10"/>
      <c r="J241" s="10">
        <f t="shared" si="67"/>
        <v>0</v>
      </c>
      <c r="K241" s="10"/>
    </row>
    <row r="242" outlineLevel="1">
      <c r="A242" s="3" t="s">
        <v>30</v>
      </c>
      <c r="B242" s="10"/>
      <c r="C242" s="11">
        <v>-5.798</v>
      </c>
      <c r="D242" s="10"/>
      <c r="E242" s="10"/>
      <c r="J242" s="10">
        <f t="shared" si="67"/>
        <v>0</v>
      </c>
      <c r="K242" s="10"/>
    </row>
    <row r="243" outlineLevel="1">
      <c r="A243" s="3" t="s">
        <v>31</v>
      </c>
      <c r="B243" s="11">
        <v>216.087</v>
      </c>
      <c r="C243" s="10"/>
      <c r="D243" s="10"/>
      <c r="E243" s="10"/>
      <c r="J243" s="10">
        <f t="shared" si="67"/>
        <v>0</v>
      </c>
      <c r="K243" s="10"/>
    </row>
    <row r="244" outlineLevel="2">
      <c r="A244" s="3" t="s">
        <v>32</v>
      </c>
      <c r="B244" s="10"/>
      <c r="C244" s="10"/>
      <c r="D244" s="10"/>
      <c r="E244" s="10"/>
      <c r="J244" s="10">
        <f t="shared" si="67"/>
        <v>0</v>
      </c>
      <c r="K244" s="10"/>
    </row>
    <row r="245" outlineLevel="2">
      <c r="A245" s="3" t="s">
        <v>33</v>
      </c>
      <c r="B245" s="10"/>
      <c r="C245" s="10"/>
      <c r="D245" s="10"/>
      <c r="E245" s="10"/>
      <c r="J245" s="10">
        <f t="shared" si="67"/>
        <v>0</v>
      </c>
      <c r="K245" s="10"/>
    </row>
    <row r="246" outlineLevel="1">
      <c r="A246" s="3" t="s">
        <v>34</v>
      </c>
      <c r="B246" s="10"/>
      <c r="C246" s="10">
        <f>5.015</f>
        <v>5.015</v>
      </c>
      <c r="D246" s="10"/>
      <c r="E246" s="10"/>
      <c r="J246" s="10">
        <f t="shared" si="67"/>
        <v>0</v>
      </c>
      <c r="K246" s="10"/>
    </row>
    <row r="247" outlineLevel="1">
      <c r="A247" s="3" t="s">
        <v>35</v>
      </c>
      <c r="B247" s="10"/>
      <c r="C247" s="10">
        <f>6.484</f>
        <v>6.484</v>
      </c>
      <c r="D247" s="10"/>
      <c r="E247" s="10"/>
      <c r="J247" s="10">
        <f t="shared" si="67"/>
        <v>0</v>
      </c>
      <c r="K247" s="10"/>
    </row>
    <row r="248" outlineLevel="1">
      <c r="A248" s="3" t="s">
        <v>36</v>
      </c>
      <c r="B248" s="10"/>
      <c r="C248" s="10">
        <f>0.677</f>
        <v>0.677</v>
      </c>
      <c r="D248" s="10"/>
      <c r="E248" s="10"/>
      <c r="J248" s="10">
        <f t="shared" si="67"/>
        <v>0</v>
      </c>
      <c r="K248" s="10"/>
    </row>
    <row r="249">
      <c r="A249" s="3" t="s">
        <v>13</v>
      </c>
      <c r="B249" s="11">
        <f>B252</f>
        <v>220.984</v>
      </c>
      <c r="C249" s="10">
        <f>SUM(C250:C257)</f>
        <v>65.311</v>
      </c>
      <c r="D249" s="11">
        <v>44.16</v>
      </c>
      <c r="E249" s="10">
        <f>SUM(B249:D249)</f>
        <v>330.455</v>
      </c>
      <c r="F249" s="6">
        <f t="shared" ref="F249:H249" si="78">B249/$E249</f>
        <v>0.6687264529</v>
      </c>
      <c r="G249" s="6">
        <f t="shared" si="78"/>
        <v>0.1976396181</v>
      </c>
      <c r="H249" s="6">
        <f t="shared" si="78"/>
        <v>0.133633929</v>
      </c>
      <c r="J249" s="10">
        <f t="shared" si="67"/>
        <v>44.16</v>
      </c>
      <c r="K249" s="11">
        <f>SUM(B249:C249)</f>
        <v>286.295</v>
      </c>
      <c r="L249" s="6">
        <f t="shared" ref="L249:M249" si="79">B249/$K249</f>
        <v>0.7718751637</v>
      </c>
      <c r="M249" s="6">
        <f t="shared" si="79"/>
        <v>0.2281248363</v>
      </c>
    </row>
    <row r="250" outlineLevel="1">
      <c r="A250" s="3" t="s">
        <v>29</v>
      </c>
      <c r="B250" s="10"/>
      <c r="C250" s="10">
        <f>53.795</f>
        <v>53.795</v>
      </c>
      <c r="D250" s="10"/>
      <c r="E250" s="10"/>
      <c r="J250" s="10">
        <f t="shared" si="67"/>
        <v>0</v>
      </c>
      <c r="K250" s="10"/>
    </row>
    <row r="251" outlineLevel="1">
      <c r="A251" s="3" t="s">
        <v>30</v>
      </c>
      <c r="B251" s="10"/>
      <c r="C251" s="11">
        <v>-4.453</v>
      </c>
      <c r="D251" s="10"/>
      <c r="E251" s="10"/>
      <c r="J251" s="10">
        <f t="shared" si="67"/>
        <v>0</v>
      </c>
      <c r="K251" s="10"/>
    </row>
    <row r="252" outlineLevel="1">
      <c r="A252" s="3" t="s">
        <v>31</v>
      </c>
      <c r="B252" s="11">
        <v>220.984</v>
      </c>
      <c r="C252" s="10"/>
      <c r="D252" s="10"/>
      <c r="E252" s="10"/>
      <c r="J252" s="10">
        <f t="shared" si="67"/>
        <v>0</v>
      </c>
      <c r="K252" s="10"/>
    </row>
    <row r="253" outlineLevel="2">
      <c r="A253" s="3" t="s">
        <v>32</v>
      </c>
      <c r="B253" s="10"/>
      <c r="C253" s="10"/>
      <c r="D253" s="10"/>
      <c r="E253" s="10"/>
      <c r="J253" s="10">
        <f t="shared" si="67"/>
        <v>0</v>
      </c>
      <c r="K253" s="10"/>
    </row>
    <row r="254" outlineLevel="2">
      <c r="A254" s="3" t="s">
        <v>33</v>
      </c>
      <c r="B254" s="10"/>
      <c r="C254" s="10"/>
      <c r="D254" s="10"/>
      <c r="E254" s="10"/>
      <c r="J254" s="10">
        <f t="shared" si="67"/>
        <v>0</v>
      </c>
      <c r="K254" s="10"/>
    </row>
    <row r="255" outlineLevel="1">
      <c r="A255" s="3" t="s">
        <v>34</v>
      </c>
      <c r="B255" s="10"/>
      <c r="C255" s="10">
        <f>5.047</f>
        <v>5.047</v>
      </c>
      <c r="D255" s="10"/>
      <c r="E255" s="10"/>
      <c r="J255" s="10">
        <f t="shared" si="67"/>
        <v>0</v>
      </c>
      <c r="K255" s="10"/>
    </row>
    <row r="256" outlineLevel="1">
      <c r="A256" s="3" t="s">
        <v>35</v>
      </c>
      <c r="B256" s="10"/>
      <c r="C256" s="10">
        <f>9.048</f>
        <v>9.048</v>
      </c>
      <c r="D256" s="10"/>
      <c r="E256" s="10"/>
      <c r="J256" s="10">
        <f t="shared" si="67"/>
        <v>0</v>
      </c>
      <c r="K256" s="10"/>
    </row>
    <row r="257" outlineLevel="1">
      <c r="A257" s="3" t="s">
        <v>36</v>
      </c>
      <c r="B257" s="10"/>
      <c r="C257" s="10">
        <f>1.874</f>
        <v>1.874</v>
      </c>
      <c r="D257" s="10"/>
      <c r="E257" s="10"/>
      <c r="J257" s="10">
        <f t="shared" si="67"/>
        <v>0</v>
      </c>
      <c r="K257" s="10"/>
    </row>
    <row r="258">
      <c r="A258" s="3" t="s">
        <v>14</v>
      </c>
      <c r="B258" s="11">
        <f>B261</f>
        <v>218.486</v>
      </c>
      <c r="C258" s="10">
        <f>SUM(C259:C266)</f>
        <v>70.421</v>
      </c>
      <c r="D258" s="11">
        <v>45.733</v>
      </c>
      <c r="E258" s="10">
        <f>SUM(B258:D258)</f>
        <v>334.64</v>
      </c>
      <c r="F258" s="6">
        <f t="shared" ref="F258:H258" si="80">B258/$E258</f>
        <v>0.6528986373</v>
      </c>
      <c r="G258" s="6">
        <f t="shared" si="80"/>
        <v>0.2104380827</v>
      </c>
      <c r="H258" s="6">
        <f t="shared" si="80"/>
        <v>0.1366632799</v>
      </c>
      <c r="J258" s="10">
        <f t="shared" si="67"/>
        <v>45.733</v>
      </c>
      <c r="K258" s="11">
        <f>SUM(B258:C258)</f>
        <v>288.907</v>
      </c>
      <c r="L258" s="6">
        <f t="shared" ref="L258:M258" si="81">B258/$K258</f>
        <v>0.7562502812</v>
      </c>
      <c r="M258" s="6">
        <f t="shared" si="81"/>
        <v>0.2437497188</v>
      </c>
    </row>
    <row r="259" outlineLevel="1">
      <c r="A259" s="3" t="s">
        <v>29</v>
      </c>
      <c r="B259" s="10"/>
      <c r="C259" s="10">
        <f>47.202</f>
        <v>47.202</v>
      </c>
      <c r="D259" s="10"/>
      <c r="E259" s="10"/>
      <c r="J259" s="10">
        <f t="shared" si="67"/>
        <v>0</v>
      </c>
      <c r="K259" s="10"/>
    </row>
    <row r="260" outlineLevel="1">
      <c r="A260" s="3" t="s">
        <v>30</v>
      </c>
      <c r="B260" s="10"/>
      <c r="C260" s="11">
        <v>-2.539</v>
      </c>
      <c r="D260" s="10"/>
      <c r="E260" s="10"/>
      <c r="J260" s="10">
        <f t="shared" si="67"/>
        <v>0</v>
      </c>
      <c r="K260" s="10"/>
    </row>
    <row r="261" outlineLevel="1">
      <c r="A261" s="3" t="s">
        <v>31</v>
      </c>
      <c r="B261" s="11">
        <v>218.486</v>
      </c>
      <c r="C261" s="10"/>
      <c r="D261" s="10"/>
      <c r="E261" s="10"/>
      <c r="J261" s="10">
        <f t="shared" si="67"/>
        <v>0</v>
      </c>
      <c r="K261" s="10"/>
    </row>
    <row r="262" outlineLevel="2">
      <c r="A262" s="3" t="s">
        <v>32</v>
      </c>
      <c r="B262" s="10"/>
      <c r="C262" s="10"/>
      <c r="D262" s="10"/>
      <c r="E262" s="10"/>
      <c r="J262" s="10">
        <f t="shared" si="67"/>
        <v>0</v>
      </c>
      <c r="K262" s="10"/>
    </row>
    <row r="263" outlineLevel="2">
      <c r="A263" s="3" t="s">
        <v>33</v>
      </c>
      <c r="B263" s="10"/>
      <c r="C263" s="10"/>
      <c r="D263" s="10"/>
      <c r="E263" s="10"/>
      <c r="J263" s="10">
        <f t="shared" si="67"/>
        <v>0</v>
      </c>
      <c r="K263" s="10"/>
    </row>
    <row r="264" outlineLevel="1">
      <c r="A264" s="3" t="s">
        <v>34</v>
      </c>
      <c r="B264" s="10"/>
      <c r="C264" s="10">
        <f>5.315</f>
        <v>5.315</v>
      </c>
      <c r="D264" s="10"/>
      <c r="E264" s="10"/>
      <c r="J264" s="10">
        <f t="shared" si="67"/>
        <v>0</v>
      </c>
      <c r="K264" s="10"/>
    </row>
    <row r="265" outlineLevel="1">
      <c r="A265" s="3" t="s">
        <v>35</v>
      </c>
      <c r="B265" s="10"/>
      <c r="C265" s="10">
        <f>9.775</f>
        <v>9.775</v>
      </c>
      <c r="D265" s="10"/>
      <c r="E265" s="10"/>
      <c r="J265" s="10">
        <f t="shared" si="67"/>
        <v>0</v>
      </c>
      <c r="K265" s="10"/>
    </row>
    <row r="266" outlineLevel="1">
      <c r="A266" s="3" t="s">
        <v>36</v>
      </c>
      <c r="B266" s="10"/>
      <c r="C266" s="10">
        <f>10.668</f>
        <v>10.668</v>
      </c>
      <c r="D266" s="10"/>
      <c r="E266" s="10"/>
      <c r="J266" s="10">
        <f t="shared" si="67"/>
        <v>0</v>
      </c>
      <c r="K266" s="10"/>
    </row>
    <row r="267">
      <c r="A267" s="3" t="s">
        <v>15</v>
      </c>
      <c r="B267" s="11">
        <f>B270</f>
        <v>207.331</v>
      </c>
      <c r="C267" s="10">
        <f>SUM(C268:C275)</f>
        <v>77.786</v>
      </c>
      <c r="D267" s="11">
        <v>43.103</v>
      </c>
      <c r="E267" s="10">
        <f>SUM(B267:D267)</f>
        <v>328.22</v>
      </c>
      <c r="F267" s="6">
        <f t="shared" ref="F267:H267" si="82">B267/$E267</f>
        <v>0.6316830175</v>
      </c>
      <c r="G267" s="6">
        <f t="shared" si="82"/>
        <v>0.23699348</v>
      </c>
      <c r="H267" s="6">
        <f t="shared" si="82"/>
        <v>0.1313235025</v>
      </c>
      <c r="J267" s="10">
        <f t="shared" si="67"/>
        <v>43.103</v>
      </c>
      <c r="K267" s="11">
        <f>SUM(B267:C267)</f>
        <v>285.117</v>
      </c>
      <c r="L267" s="6">
        <f t="shared" ref="L267:M267" si="83">B267/$K267</f>
        <v>0.727178667</v>
      </c>
      <c r="M267" s="6">
        <f t="shared" si="83"/>
        <v>0.272821333</v>
      </c>
    </row>
    <row r="268" outlineLevel="1">
      <c r="A268" s="3" t="s">
        <v>29</v>
      </c>
      <c r="B268" s="10"/>
      <c r="C268" s="10">
        <f>43.26</f>
        <v>43.26</v>
      </c>
      <c r="D268" s="10"/>
      <c r="E268" s="10"/>
      <c r="J268" s="10">
        <f t="shared" si="67"/>
        <v>0</v>
      </c>
      <c r="K268" s="10"/>
    </row>
    <row r="269" outlineLevel="1">
      <c r="A269" s="3" t="s">
        <v>30</v>
      </c>
      <c r="B269" s="10"/>
      <c r="C269" s="11">
        <v>-2.689</v>
      </c>
      <c r="D269" s="10"/>
      <c r="E269" s="10"/>
      <c r="J269" s="10">
        <f t="shared" si="67"/>
        <v>0</v>
      </c>
      <c r="K269" s="10"/>
    </row>
    <row r="270" outlineLevel="1">
      <c r="A270" s="3" t="s">
        <v>31</v>
      </c>
      <c r="B270" s="11">
        <v>207.331</v>
      </c>
      <c r="C270" s="10"/>
      <c r="D270" s="10"/>
      <c r="E270" s="10"/>
      <c r="J270" s="10">
        <f t="shared" si="67"/>
        <v>0</v>
      </c>
      <c r="K270" s="10"/>
    </row>
    <row r="271" outlineLevel="2">
      <c r="A271" s="3" t="s">
        <v>32</v>
      </c>
      <c r="B271" s="10"/>
      <c r="C271" s="10"/>
      <c r="D271" s="10"/>
      <c r="E271" s="10"/>
      <c r="J271" s="10">
        <f t="shared" si="67"/>
        <v>0</v>
      </c>
      <c r="K271" s="10"/>
    </row>
    <row r="272" outlineLevel="2">
      <c r="A272" s="3" t="s">
        <v>33</v>
      </c>
      <c r="B272" s="10"/>
      <c r="C272" s="10"/>
      <c r="D272" s="10"/>
      <c r="E272" s="10"/>
      <c r="J272" s="10">
        <f t="shared" si="67"/>
        <v>0</v>
      </c>
      <c r="K272" s="10"/>
    </row>
    <row r="273" outlineLevel="1">
      <c r="A273" s="3" t="s">
        <v>34</v>
      </c>
      <c r="B273" s="10"/>
      <c r="C273" s="10">
        <f>5.251</f>
        <v>5.251</v>
      </c>
      <c r="D273" s="10"/>
      <c r="E273" s="10"/>
      <c r="J273" s="10">
        <f t="shared" si="67"/>
        <v>0</v>
      </c>
      <c r="K273" s="10"/>
    </row>
    <row r="274" outlineLevel="1">
      <c r="A274" s="3" t="s">
        <v>35</v>
      </c>
      <c r="B274" s="10"/>
      <c r="C274" s="10">
        <f>13.333</f>
        <v>13.333</v>
      </c>
      <c r="D274" s="10"/>
      <c r="E274" s="10"/>
      <c r="J274" s="10">
        <f t="shared" si="67"/>
        <v>0</v>
      </c>
      <c r="K274" s="10"/>
    </row>
    <row r="275" outlineLevel="1">
      <c r="A275" s="3" t="s">
        <v>36</v>
      </c>
      <c r="B275" s="10"/>
      <c r="C275" s="10">
        <f>18.631</f>
        <v>18.631</v>
      </c>
      <c r="D275" s="10"/>
      <c r="E275" s="10"/>
      <c r="J275" s="10">
        <f t="shared" si="67"/>
        <v>0</v>
      </c>
      <c r="K275" s="10"/>
    </row>
    <row r="276">
      <c r="A276" s="3" t="s">
        <v>16</v>
      </c>
      <c r="B276" s="11">
        <f>B279</f>
        <v>183.404</v>
      </c>
      <c r="C276" s="10">
        <f>SUM(C277:C284)</f>
        <v>92.933</v>
      </c>
      <c r="D276" s="11">
        <v>42.138</v>
      </c>
      <c r="E276" s="10">
        <f>SUM(B276:D276)</f>
        <v>318.475</v>
      </c>
      <c r="F276" s="6">
        <f t="shared" ref="F276:H276" si="84">B276/$E276</f>
        <v>0.5758819374</v>
      </c>
      <c r="G276" s="6">
        <f t="shared" si="84"/>
        <v>0.2918062642</v>
      </c>
      <c r="H276" s="6">
        <f t="shared" si="84"/>
        <v>0.1323117984</v>
      </c>
      <c r="J276" s="10">
        <f t="shared" si="67"/>
        <v>42.138</v>
      </c>
      <c r="K276" s="11">
        <f>SUM(B276:C276)</f>
        <v>276.337</v>
      </c>
      <c r="L276" s="6">
        <f t="shared" ref="L276:M276" si="85">B276/$K276</f>
        <v>0.6636968629</v>
      </c>
      <c r="M276" s="6">
        <f t="shared" si="85"/>
        <v>0.3363031371</v>
      </c>
    </row>
    <row r="277" outlineLevel="1">
      <c r="A277" s="3" t="s">
        <v>29</v>
      </c>
      <c r="B277" s="10"/>
      <c r="C277" s="10">
        <f>54.068</f>
        <v>54.068</v>
      </c>
      <c r="D277" s="10"/>
      <c r="E277" s="10"/>
      <c r="J277" s="10">
        <f t="shared" si="67"/>
        <v>0</v>
      </c>
      <c r="K277" s="10"/>
    </row>
    <row r="278" outlineLevel="1">
      <c r="A278" s="3" t="s">
        <v>30</v>
      </c>
      <c r="B278" s="10"/>
      <c r="C278" s="11">
        <v>-2.495</v>
      </c>
      <c r="D278" s="10"/>
      <c r="E278" s="10"/>
      <c r="J278" s="10">
        <f t="shared" si="67"/>
        <v>0</v>
      </c>
      <c r="K278" s="10"/>
    </row>
    <row r="279" outlineLevel="1">
      <c r="A279" s="3" t="s">
        <v>31</v>
      </c>
      <c r="B279" s="11">
        <f>183.404</f>
        <v>183.404</v>
      </c>
      <c r="C279" s="10"/>
      <c r="D279" s="10"/>
      <c r="E279" s="10"/>
      <c r="J279" s="10">
        <f t="shared" si="67"/>
        <v>0</v>
      </c>
      <c r="K279" s="10"/>
    </row>
    <row r="280" outlineLevel="2">
      <c r="A280" s="3" t="s">
        <v>32</v>
      </c>
      <c r="B280" s="10"/>
      <c r="C280" s="10"/>
      <c r="D280" s="10"/>
      <c r="E280" s="10"/>
      <c r="J280" s="10">
        <f t="shared" si="67"/>
        <v>0</v>
      </c>
      <c r="K280" s="10"/>
    </row>
    <row r="281" outlineLevel="2">
      <c r="A281" s="3" t="s">
        <v>33</v>
      </c>
      <c r="B281" s="10"/>
      <c r="C281" s="10"/>
      <c r="D281" s="10"/>
      <c r="E281" s="10"/>
      <c r="J281" s="10">
        <f t="shared" si="67"/>
        <v>0</v>
      </c>
      <c r="K281" s="10"/>
    </row>
    <row r="282" outlineLevel="1">
      <c r="A282" s="3" t="s">
        <v>34</v>
      </c>
      <c r="B282" s="10"/>
      <c r="C282" s="10">
        <f>5.319</f>
        <v>5.319</v>
      </c>
      <c r="D282" s="10"/>
      <c r="E282" s="10"/>
      <c r="J282" s="10">
        <f t="shared" si="67"/>
        <v>0</v>
      </c>
      <c r="K282" s="10"/>
    </row>
    <row r="283" outlineLevel="1">
      <c r="A283" s="3" t="s">
        <v>35</v>
      </c>
      <c r="B283" s="10"/>
      <c r="C283" s="10">
        <f>14.812</f>
        <v>14.812</v>
      </c>
      <c r="D283" s="10"/>
      <c r="E283" s="10"/>
      <c r="J283" s="10">
        <f t="shared" si="67"/>
        <v>0</v>
      </c>
      <c r="K283" s="10"/>
    </row>
    <row r="284" outlineLevel="1">
      <c r="A284" s="3" t="s">
        <v>36</v>
      </c>
      <c r="B284" s="10"/>
      <c r="C284" s="10">
        <f>21.229</f>
        <v>21.229</v>
      </c>
      <c r="D284" s="10"/>
      <c r="E284" s="10"/>
      <c r="J284" s="10">
        <f t="shared" si="67"/>
        <v>0</v>
      </c>
      <c r="K284" s="10"/>
    </row>
    <row r="285">
      <c r="A285" s="3" t="s">
        <v>17</v>
      </c>
      <c r="B285" s="11">
        <f>B288</f>
        <v>167.08</v>
      </c>
      <c r="C285" s="10">
        <f>SUM(C286:C293)</f>
        <v>99.739</v>
      </c>
      <c r="D285" s="11">
        <v>43.716</v>
      </c>
      <c r="E285" s="10">
        <f>SUM(B285:D285)</f>
        <v>310.535</v>
      </c>
      <c r="F285" s="6">
        <f t="shared" ref="F285:H285" si="86">B285/$E285</f>
        <v>0.5380391904</v>
      </c>
      <c r="G285" s="6">
        <f t="shared" si="86"/>
        <v>0.3211844076</v>
      </c>
      <c r="H285" s="6">
        <f t="shared" si="86"/>
        <v>0.140776402</v>
      </c>
      <c r="J285" s="10">
        <f t="shared" si="67"/>
        <v>43.716</v>
      </c>
      <c r="K285" s="11">
        <f>SUM(B285:C285)</f>
        <v>266.819</v>
      </c>
      <c r="L285" s="6">
        <f t="shared" ref="L285:M285" si="87">B285/$K285</f>
        <v>0.6261922877</v>
      </c>
      <c r="M285" s="6">
        <f t="shared" si="87"/>
        <v>0.3738077123</v>
      </c>
    </row>
    <row r="286" outlineLevel="1">
      <c r="A286" s="3" t="s">
        <v>29</v>
      </c>
      <c r="B286" s="10"/>
      <c r="C286" s="10">
        <f>59.575</f>
        <v>59.575</v>
      </c>
      <c r="D286" s="10"/>
      <c r="E286" s="10"/>
      <c r="J286" s="10">
        <f t="shared" si="67"/>
        <v>0</v>
      </c>
      <c r="K286" s="10"/>
    </row>
    <row r="287" outlineLevel="1">
      <c r="A287" s="3" t="s">
        <v>30</v>
      </c>
      <c r="B287" s="10"/>
      <c r="C287" s="11">
        <v>-2.329</v>
      </c>
      <c r="D287" s="10"/>
      <c r="E287" s="10"/>
      <c r="J287" s="10">
        <f t="shared" si="67"/>
        <v>0</v>
      </c>
      <c r="K287" s="10"/>
    </row>
    <row r="288" outlineLevel="1">
      <c r="A288" s="3" t="s">
        <v>31</v>
      </c>
      <c r="B288" s="11">
        <v>167.08</v>
      </c>
      <c r="C288" s="10"/>
      <c r="D288" s="10"/>
      <c r="E288" s="10"/>
      <c r="J288" s="10">
        <f t="shared" si="67"/>
        <v>0</v>
      </c>
      <c r="K288" s="10"/>
    </row>
    <row r="289" outlineLevel="2">
      <c r="A289" s="3" t="s">
        <v>32</v>
      </c>
      <c r="B289" s="10"/>
      <c r="C289" s="10"/>
      <c r="D289" s="10"/>
      <c r="E289" s="10"/>
      <c r="J289" s="10">
        <f t="shared" si="67"/>
        <v>0</v>
      </c>
      <c r="K289" s="10"/>
    </row>
    <row r="290" outlineLevel="2">
      <c r="A290" s="3" t="s">
        <v>33</v>
      </c>
      <c r="B290" s="10"/>
      <c r="C290" s="10"/>
      <c r="D290" s="10"/>
      <c r="E290" s="10"/>
      <c r="J290" s="10">
        <f t="shared" si="67"/>
        <v>0</v>
      </c>
      <c r="K290" s="10"/>
    </row>
    <row r="291" outlineLevel="1">
      <c r="A291" s="3" t="s">
        <v>34</v>
      </c>
      <c r="B291" s="10"/>
      <c r="C291" s="10">
        <f>5.566</f>
        <v>5.566</v>
      </c>
      <c r="D291" s="10"/>
      <c r="E291" s="10"/>
      <c r="J291" s="10">
        <f t="shared" si="67"/>
        <v>0</v>
      </c>
      <c r="K291" s="10"/>
    </row>
    <row r="292" outlineLevel="1">
      <c r="A292" s="3" t="s">
        <v>35</v>
      </c>
      <c r="B292" s="10"/>
      <c r="C292" s="10">
        <f>15.089</f>
        <v>15.089</v>
      </c>
      <c r="D292" s="10"/>
      <c r="E292" s="10"/>
      <c r="J292" s="10">
        <f t="shared" si="67"/>
        <v>0</v>
      </c>
      <c r="K292" s="10"/>
    </row>
    <row r="293" outlineLevel="1">
      <c r="A293" s="3" t="s">
        <v>36</v>
      </c>
      <c r="B293" s="10"/>
      <c r="C293" s="10">
        <f>21.838</f>
        <v>21.838</v>
      </c>
      <c r="D293" s="10"/>
      <c r="E293" s="10"/>
      <c r="J293" s="10">
        <f t="shared" si="67"/>
        <v>0</v>
      </c>
      <c r="K293" s="10"/>
    </row>
    <row r="294">
      <c r="A294" s="3" t="s">
        <v>18</v>
      </c>
      <c r="B294" s="11">
        <f>B297</f>
        <v>164.931</v>
      </c>
      <c r="C294" s="10">
        <f>SUM(C295:C302)</f>
        <v>105.588</v>
      </c>
      <c r="D294" s="11">
        <v>46.378</v>
      </c>
      <c r="E294" s="10">
        <f>SUM(B294:D294)</f>
        <v>316.897</v>
      </c>
      <c r="F294" s="6">
        <f t="shared" ref="F294:H294" si="88">B294/$E294</f>
        <v>0.5204561735</v>
      </c>
      <c r="G294" s="6">
        <f t="shared" si="88"/>
        <v>0.3331934351</v>
      </c>
      <c r="H294" s="6">
        <f t="shared" si="88"/>
        <v>0.1463503915</v>
      </c>
      <c r="J294" s="10">
        <f t="shared" si="67"/>
        <v>46.378</v>
      </c>
      <c r="K294" s="11">
        <f>SUM(B294:C294)</f>
        <v>270.519</v>
      </c>
      <c r="L294" s="6">
        <f t="shared" ref="L294:M294" si="89">B294/$K294</f>
        <v>0.6096836082</v>
      </c>
      <c r="M294" s="6">
        <f t="shared" si="89"/>
        <v>0.3903163918</v>
      </c>
    </row>
    <row r="295" outlineLevel="1">
      <c r="A295" s="3" t="s">
        <v>29</v>
      </c>
      <c r="B295" s="10"/>
      <c r="C295" s="10">
        <f>46.451</f>
        <v>46.451</v>
      </c>
      <c r="D295" s="10"/>
      <c r="E295" s="10"/>
      <c r="J295" s="10">
        <f t="shared" si="67"/>
        <v>0</v>
      </c>
      <c r="K295" s="10"/>
    </row>
    <row r="296" outlineLevel="1">
      <c r="A296" s="3" t="s">
        <v>30</v>
      </c>
      <c r="B296" s="10"/>
      <c r="C296" s="11">
        <v>-1.909</v>
      </c>
      <c r="D296" s="10"/>
      <c r="E296" s="10"/>
      <c r="J296" s="10">
        <f t="shared" si="67"/>
        <v>0</v>
      </c>
      <c r="K296" s="10"/>
    </row>
    <row r="297" outlineLevel="1">
      <c r="A297" s="3" t="s">
        <v>31</v>
      </c>
      <c r="B297" s="10">
        <f>182.861-C298</f>
        <v>164.931</v>
      </c>
      <c r="C297" s="10"/>
      <c r="D297" s="10"/>
      <c r="E297" s="10"/>
      <c r="J297" s="10">
        <f t="shared" si="67"/>
        <v>0</v>
      </c>
      <c r="K297" s="10"/>
    </row>
    <row r="298" outlineLevel="2">
      <c r="A298" s="3" t="s">
        <v>37</v>
      </c>
      <c r="B298" s="10"/>
      <c r="C298" s="10">
        <f>17.93</f>
        <v>17.93</v>
      </c>
      <c r="D298" s="10"/>
      <c r="E298" s="10"/>
      <c r="J298" s="10">
        <f t="shared" si="67"/>
        <v>0</v>
      </c>
      <c r="K298" s="10"/>
    </row>
    <row r="299" outlineLevel="2">
      <c r="A299" s="3" t="s">
        <v>38</v>
      </c>
      <c r="B299" s="10"/>
      <c r="C299" s="10"/>
      <c r="D299" s="10"/>
      <c r="E299" s="10"/>
      <c r="J299" s="10">
        <f t="shared" si="67"/>
        <v>0</v>
      </c>
      <c r="K299" s="10"/>
    </row>
    <row r="300" outlineLevel="1">
      <c r="A300" s="3" t="s">
        <v>34</v>
      </c>
      <c r="B300" s="10"/>
      <c r="C300" s="10">
        <f>5.824</f>
        <v>5.824</v>
      </c>
      <c r="D300" s="10"/>
      <c r="E300" s="10"/>
      <c r="J300" s="10">
        <f t="shared" si="67"/>
        <v>0</v>
      </c>
      <c r="K300" s="10"/>
    </row>
    <row r="301" outlineLevel="1">
      <c r="A301" s="3" t="s">
        <v>35</v>
      </c>
      <c r="B301" s="10"/>
      <c r="C301" s="10">
        <f>14.705</f>
        <v>14.705</v>
      </c>
      <c r="D301" s="10"/>
      <c r="E301" s="10"/>
      <c r="J301" s="10">
        <f t="shared" si="67"/>
        <v>0</v>
      </c>
      <c r="K301" s="10"/>
    </row>
    <row r="302" outlineLevel="1">
      <c r="A302" s="3" t="s">
        <v>36</v>
      </c>
      <c r="B302" s="10"/>
      <c r="C302" s="10">
        <f>22.587</f>
        <v>22.587</v>
      </c>
      <c r="D302" s="10"/>
      <c r="E302" s="10"/>
      <c r="J302" s="10">
        <f t="shared" si="67"/>
        <v>0</v>
      </c>
      <c r="K302" s="10"/>
    </row>
    <row r="303">
      <c r="A303" s="3" t="s">
        <v>19</v>
      </c>
      <c r="B303" s="11">
        <f>B306</f>
        <v>172.815</v>
      </c>
      <c r="C303" s="10">
        <f>SUM(C304:C311)</f>
        <v>104.4212</v>
      </c>
      <c r="D303" s="11">
        <v>37.026</v>
      </c>
      <c r="E303" s="10">
        <f>SUM(B303:D303)</f>
        <v>314.2622</v>
      </c>
      <c r="F303" s="6">
        <f t="shared" ref="F303:H303" si="90">B303/$E303</f>
        <v>0.5499070521</v>
      </c>
      <c r="G303" s="6">
        <f t="shared" si="90"/>
        <v>0.3322741329</v>
      </c>
      <c r="H303" s="6">
        <f t="shared" si="90"/>
        <v>0.117818815</v>
      </c>
      <c r="J303" s="10">
        <f t="shared" si="67"/>
        <v>37.026</v>
      </c>
      <c r="K303" s="11">
        <f>SUM(B303:C303)</f>
        <v>277.2362</v>
      </c>
      <c r="L303" s="6">
        <f t="shared" ref="L303:M303" si="91">B303/$K303</f>
        <v>0.6233493317</v>
      </c>
      <c r="M303" s="6">
        <f t="shared" si="91"/>
        <v>0.3766506683</v>
      </c>
    </row>
    <row r="304" outlineLevel="1">
      <c r="A304" s="3" t="s">
        <v>29</v>
      </c>
      <c r="B304" s="10"/>
      <c r="C304" s="10">
        <f>43.785</f>
        <v>43.785</v>
      </c>
      <c r="D304" s="10"/>
      <c r="E304" s="10"/>
      <c r="J304" s="10">
        <f t="shared" si="67"/>
        <v>0</v>
      </c>
      <c r="K304" s="10"/>
    </row>
    <row r="305" outlineLevel="1">
      <c r="A305" s="3" t="s">
        <v>30</v>
      </c>
      <c r="B305" s="10"/>
      <c r="C305" s="11">
        <v>-2.4668</v>
      </c>
      <c r="D305" s="10"/>
      <c r="E305" s="10"/>
      <c r="J305" s="10">
        <f t="shared" si="67"/>
        <v>0</v>
      </c>
      <c r="K305" s="10"/>
    </row>
    <row r="306" outlineLevel="1">
      <c r="A306" s="3" t="s">
        <v>31</v>
      </c>
      <c r="B306" s="10">
        <f>190.771-C307</f>
        <v>172.815</v>
      </c>
      <c r="C306" s="10"/>
      <c r="D306" s="10"/>
      <c r="E306" s="10"/>
      <c r="J306" s="10">
        <f t="shared" si="67"/>
        <v>0</v>
      </c>
      <c r="K306" s="10"/>
    </row>
    <row r="307" outlineLevel="2">
      <c r="A307" s="3" t="s">
        <v>37</v>
      </c>
      <c r="B307" s="10"/>
      <c r="C307" s="11">
        <v>17.956</v>
      </c>
      <c r="D307" s="10"/>
      <c r="E307" s="10"/>
      <c r="J307" s="10">
        <f t="shared" si="67"/>
        <v>0</v>
      </c>
      <c r="K307" s="10"/>
    </row>
    <row r="308" outlineLevel="2">
      <c r="A308" s="3" t="s">
        <v>38</v>
      </c>
      <c r="B308" s="10"/>
      <c r="C308" s="10"/>
      <c r="D308" s="10"/>
      <c r="E308" s="10"/>
      <c r="J308" s="10">
        <f t="shared" si="67"/>
        <v>0</v>
      </c>
      <c r="K308" s="10"/>
    </row>
    <row r="309" outlineLevel="1">
      <c r="A309" s="3" t="s">
        <v>34</v>
      </c>
      <c r="B309" s="10"/>
      <c r="C309" s="10">
        <f>5.867</f>
        <v>5.867</v>
      </c>
      <c r="D309" s="10"/>
      <c r="E309" s="10"/>
      <c r="J309" s="10">
        <f t="shared" si="67"/>
        <v>0</v>
      </c>
      <c r="K309" s="10"/>
    </row>
    <row r="310" outlineLevel="1">
      <c r="A310" s="3" t="s">
        <v>35</v>
      </c>
      <c r="B310" s="10"/>
      <c r="C310" s="10">
        <f>17.523</f>
        <v>17.523</v>
      </c>
      <c r="D310" s="10"/>
      <c r="E310" s="10"/>
      <c r="J310" s="10">
        <f t="shared" si="67"/>
        <v>0</v>
      </c>
      <c r="K310" s="10"/>
    </row>
    <row r="311" outlineLevel="1">
      <c r="A311" s="3" t="s">
        <v>36</v>
      </c>
      <c r="B311" s="10"/>
      <c r="C311" s="10">
        <f>21.757</f>
        <v>21.757</v>
      </c>
      <c r="D311" s="10"/>
      <c r="E311" s="10"/>
      <c r="J311" s="10">
        <f t="shared" si="67"/>
        <v>0</v>
      </c>
      <c r="K311" s="10"/>
    </row>
    <row r="312">
      <c r="A312" s="3" t="s">
        <v>20</v>
      </c>
      <c r="B312" s="11">
        <f>B315</f>
        <v>182.487</v>
      </c>
      <c r="C312" s="10">
        <f>SUM(C313:C320)</f>
        <v>100.3</v>
      </c>
      <c r="D312" s="11">
        <v>37.761</v>
      </c>
      <c r="E312" s="10">
        <f>SUM(B312:D312)</f>
        <v>320.548</v>
      </c>
      <c r="F312" s="6">
        <f t="shared" ref="F312:H312" si="92">B312/$E312</f>
        <v>0.569296954</v>
      </c>
      <c r="G312" s="6">
        <f t="shared" si="92"/>
        <v>0.3129016559</v>
      </c>
      <c r="H312" s="6">
        <f t="shared" si="92"/>
        <v>0.1178013901</v>
      </c>
      <c r="J312" s="10">
        <f t="shared" si="67"/>
        <v>37.761</v>
      </c>
      <c r="K312" s="11">
        <f>SUM(B312:C312)</f>
        <v>282.787</v>
      </c>
      <c r="L312" s="6">
        <f t="shared" ref="L312:M312" si="93">B312/$K312</f>
        <v>0.645316086</v>
      </c>
      <c r="M312" s="6">
        <f t="shared" si="93"/>
        <v>0.354683914</v>
      </c>
    </row>
    <row r="313" outlineLevel="1">
      <c r="A313" s="3" t="s">
        <v>29</v>
      </c>
      <c r="B313" s="10"/>
      <c r="C313" s="10">
        <f>37.557</f>
        <v>37.557</v>
      </c>
      <c r="D313" s="10"/>
      <c r="E313" s="10"/>
      <c r="J313" s="10">
        <f t="shared" si="67"/>
        <v>0</v>
      </c>
      <c r="K313" s="10"/>
    </row>
    <row r="314" outlineLevel="1">
      <c r="A314" s="3" t="s">
        <v>30</v>
      </c>
      <c r="B314" s="10"/>
      <c r="C314" s="11">
        <v>-2.478</v>
      </c>
      <c r="D314" s="10"/>
      <c r="E314" s="10"/>
      <c r="J314" s="10">
        <f t="shared" si="67"/>
        <v>0</v>
      </c>
      <c r="K314" s="10"/>
    </row>
    <row r="315" outlineLevel="1">
      <c r="A315" s="3" t="s">
        <v>31</v>
      </c>
      <c r="B315" s="11">
        <f>200.305-C316</f>
        <v>182.487</v>
      </c>
      <c r="C315" s="10"/>
      <c r="D315" s="10"/>
      <c r="E315" s="10"/>
      <c r="J315" s="10">
        <f t="shared" si="67"/>
        <v>0</v>
      </c>
      <c r="K315" s="10"/>
    </row>
    <row r="316" outlineLevel="2">
      <c r="A316" s="3" t="s">
        <v>37</v>
      </c>
      <c r="B316" s="10"/>
      <c r="C316" s="11">
        <v>17.818</v>
      </c>
      <c r="D316" s="10"/>
      <c r="E316" s="10"/>
      <c r="J316" s="10">
        <f t="shared" si="67"/>
        <v>0</v>
      </c>
      <c r="K316" s="10"/>
    </row>
    <row r="317" outlineLevel="2">
      <c r="A317" s="3" t="s">
        <v>38</v>
      </c>
      <c r="B317" s="10"/>
      <c r="C317" s="10"/>
      <c r="D317" s="10"/>
      <c r="E317" s="10"/>
      <c r="J317" s="10">
        <f t="shared" si="67"/>
        <v>0</v>
      </c>
      <c r="K317" s="10"/>
    </row>
    <row r="318" outlineLevel="1">
      <c r="A318" s="3" t="s">
        <v>34</v>
      </c>
      <c r="B318" s="10"/>
      <c r="C318" s="10">
        <f>5.821</f>
        <v>5.821</v>
      </c>
      <c r="D318" s="10"/>
      <c r="E318" s="10"/>
      <c r="J318" s="10">
        <f t="shared" si="67"/>
        <v>0</v>
      </c>
      <c r="K318" s="10"/>
    </row>
    <row r="319" outlineLevel="1">
      <c r="A319" s="3" t="s">
        <v>35</v>
      </c>
      <c r="B319" s="10"/>
      <c r="C319" s="10">
        <f>17.565</f>
        <v>17.565</v>
      </c>
      <c r="D319" s="10"/>
      <c r="E319" s="10"/>
      <c r="J319" s="10">
        <f t="shared" si="67"/>
        <v>0</v>
      </c>
      <c r="K319" s="10"/>
    </row>
    <row r="320" outlineLevel="1">
      <c r="A320" s="3" t="s">
        <v>36</v>
      </c>
      <c r="B320" s="10"/>
      <c r="C320" s="10">
        <f>24.017</f>
        <v>24.017</v>
      </c>
      <c r="D320" s="10"/>
      <c r="E320" s="10"/>
      <c r="J320" s="10">
        <f t="shared" si="67"/>
        <v>0</v>
      </c>
      <c r="K320" s="10"/>
    </row>
    <row r="321">
      <c r="A321" s="3" t="s">
        <v>21</v>
      </c>
      <c r="B321" s="11">
        <f>B324</f>
        <v>166.737</v>
      </c>
      <c r="C321" s="10">
        <f>SUM(C322:C329)</f>
        <v>110.795</v>
      </c>
      <c r="D321" s="11">
        <v>43.899</v>
      </c>
      <c r="E321" s="10">
        <f>SUM(B321:D321)</f>
        <v>321.431</v>
      </c>
      <c r="F321" s="6">
        <f t="shared" ref="F321:H321" si="94">B321/$E321</f>
        <v>0.518733414</v>
      </c>
      <c r="G321" s="6">
        <f t="shared" si="94"/>
        <v>0.3446929512</v>
      </c>
      <c r="H321" s="6">
        <f t="shared" si="94"/>
        <v>0.1365736348</v>
      </c>
      <c r="J321" s="10">
        <f t="shared" si="67"/>
        <v>43.899</v>
      </c>
      <c r="K321" s="11">
        <f>SUM(B321:C321)</f>
        <v>277.532</v>
      </c>
      <c r="L321" s="6">
        <f t="shared" ref="L321:M321" si="95">B321/$K321</f>
        <v>0.6007847744</v>
      </c>
      <c r="M321" s="6">
        <f t="shared" si="95"/>
        <v>0.3992152256</v>
      </c>
    </row>
    <row r="322" outlineLevel="1">
      <c r="A322" s="3" t="s">
        <v>29</v>
      </c>
      <c r="B322" s="10"/>
      <c r="C322" s="11">
        <v>49.928</v>
      </c>
      <c r="D322" s="10"/>
      <c r="E322" s="10"/>
      <c r="J322" s="10">
        <f t="shared" si="67"/>
        <v>0</v>
      </c>
      <c r="K322" s="10"/>
    </row>
    <row r="323" outlineLevel="1">
      <c r="A323" s="3" t="s">
        <v>30</v>
      </c>
      <c r="B323" s="10"/>
      <c r="C323" s="11">
        <v>-2.313</v>
      </c>
      <c r="D323" s="10"/>
      <c r="E323" s="10"/>
      <c r="J323" s="10">
        <f t="shared" si="67"/>
        <v>0</v>
      </c>
      <c r="K323" s="10"/>
    </row>
    <row r="324" outlineLevel="1">
      <c r="A324" s="3" t="s">
        <v>31</v>
      </c>
      <c r="B324" s="11">
        <f>184.338-C325</f>
        <v>166.737</v>
      </c>
      <c r="C324" s="10"/>
      <c r="D324" s="10"/>
      <c r="E324" s="10"/>
      <c r="J324" s="10">
        <f t="shared" si="67"/>
        <v>0</v>
      </c>
      <c r="K324" s="10"/>
    </row>
    <row r="325" outlineLevel="2">
      <c r="A325" s="3" t="s">
        <v>37</v>
      </c>
      <c r="B325" s="10"/>
      <c r="C325" s="11">
        <v>17.601</v>
      </c>
      <c r="D325" s="10"/>
      <c r="E325" s="10"/>
      <c r="J325" s="10">
        <f t="shared" si="67"/>
        <v>0</v>
      </c>
      <c r="K325" s="10"/>
    </row>
    <row r="326" outlineLevel="2">
      <c r="A326" s="3" t="s">
        <v>38</v>
      </c>
      <c r="B326" s="10"/>
      <c r="C326" s="10"/>
      <c r="D326" s="10"/>
      <c r="E326" s="10"/>
      <c r="J326" s="10">
        <f t="shared" si="67"/>
        <v>0</v>
      </c>
      <c r="K326" s="10"/>
    </row>
    <row r="327" outlineLevel="1">
      <c r="A327" s="3" t="s">
        <v>34</v>
      </c>
      <c r="B327" s="10"/>
      <c r="C327" s="11">
        <v>5.756</v>
      </c>
      <c r="D327" s="10"/>
      <c r="E327" s="10"/>
      <c r="J327" s="10">
        <f t="shared" si="67"/>
        <v>0</v>
      </c>
      <c r="K327" s="10"/>
    </row>
    <row r="328" outlineLevel="1">
      <c r="A328" s="3" t="s">
        <v>35</v>
      </c>
      <c r="B328" s="10"/>
      <c r="C328" s="11">
        <v>17.557</v>
      </c>
      <c r="D328" s="10"/>
      <c r="E328" s="10"/>
      <c r="J328" s="10">
        <f t="shared" si="67"/>
        <v>0</v>
      </c>
      <c r="K328" s="10"/>
    </row>
    <row r="329" outlineLevel="1">
      <c r="A329" s="3" t="s">
        <v>36</v>
      </c>
      <c r="B329" s="10"/>
      <c r="C329" s="11">
        <v>22.266</v>
      </c>
      <c r="D329" s="10"/>
      <c r="E329" s="10"/>
      <c r="J329" s="10">
        <f t="shared" si="67"/>
        <v>0</v>
      </c>
      <c r="K329" s="10"/>
    </row>
    <row r="330">
      <c r="A330" s="3" t="s">
        <v>22</v>
      </c>
      <c r="B330" s="11">
        <f>B333</f>
        <v>169.35</v>
      </c>
      <c r="C330" s="10">
        <f>SUM(C331:C338)</f>
        <v>112.131</v>
      </c>
      <c r="D330" s="11">
        <v>38.141</v>
      </c>
      <c r="E330" s="10">
        <f>SUM(B330:D330)</f>
        <v>319.622</v>
      </c>
      <c r="F330" s="6">
        <f t="shared" ref="F330:H330" si="96">B330/$E330</f>
        <v>0.529844629</v>
      </c>
      <c r="G330" s="6">
        <f t="shared" si="96"/>
        <v>0.3508237856</v>
      </c>
      <c r="H330" s="6">
        <f t="shared" si="96"/>
        <v>0.1193315854</v>
      </c>
      <c r="J330" s="10">
        <f t="shared" si="67"/>
        <v>38.141</v>
      </c>
      <c r="K330" s="11">
        <f>SUM(B330:C330)</f>
        <v>281.481</v>
      </c>
      <c r="L330" s="6">
        <f t="shared" ref="L330:M330" si="97">B330/$K330</f>
        <v>0.601639187</v>
      </c>
      <c r="M330" s="6">
        <f t="shared" si="97"/>
        <v>0.398360813</v>
      </c>
    </row>
    <row r="331" outlineLevel="1">
      <c r="A331" s="3" t="s">
        <v>29</v>
      </c>
      <c r="B331" s="10"/>
      <c r="C331" s="11">
        <v>47.59</v>
      </c>
      <c r="D331" s="10"/>
      <c r="E331" s="10"/>
      <c r="J331" s="10">
        <f t="shared" si="67"/>
        <v>0</v>
      </c>
      <c r="K331" s="10"/>
    </row>
    <row r="332" outlineLevel="1">
      <c r="A332" s="3" t="s">
        <v>30</v>
      </c>
      <c r="B332" s="10"/>
      <c r="C332" s="11">
        <v>-2.469</v>
      </c>
      <c r="D332" s="10"/>
      <c r="E332" s="10"/>
      <c r="J332" s="10">
        <f t="shared" si="67"/>
        <v>0</v>
      </c>
      <c r="K332" s="10"/>
    </row>
    <row r="333" outlineLevel="1">
      <c r="A333" s="3" t="s">
        <v>31</v>
      </c>
      <c r="B333" s="11">
        <f>187.317-C334</f>
        <v>169.35</v>
      </c>
      <c r="C333" s="10"/>
      <c r="D333" s="10"/>
      <c r="E333" s="10"/>
      <c r="J333" s="10">
        <f t="shared" si="67"/>
        <v>0</v>
      </c>
      <c r="K333" s="10"/>
    </row>
    <row r="334" outlineLevel="2">
      <c r="A334" s="3" t="s">
        <v>37</v>
      </c>
      <c r="B334" s="10"/>
      <c r="C334" s="11">
        <v>17.967</v>
      </c>
      <c r="D334" s="10"/>
      <c r="E334" s="10"/>
      <c r="J334" s="10">
        <f t="shared" si="67"/>
        <v>0</v>
      </c>
      <c r="K334" s="10"/>
    </row>
    <row r="335" outlineLevel="2">
      <c r="A335" s="3" t="s">
        <v>38</v>
      </c>
      <c r="B335" s="10"/>
      <c r="C335" s="10"/>
      <c r="D335" s="10"/>
      <c r="E335" s="10"/>
      <c r="J335" s="10">
        <f t="shared" si="67"/>
        <v>0</v>
      </c>
      <c r="K335" s="10"/>
    </row>
    <row r="336" outlineLevel="1">
      <c r="A336" s="3" t="s">
        <v>34</v>
      </c>
      <c r="B336" s="10"/>
      <c r="C336" s="11">
        <v>5.689</v>
      </c>
      <c r="D336" s="10"/>
      <c r="E336" s="10"/>
      <c r="J336" s="10">
        <f t="shared" si="67"/>
        <v>0</v>
      </c>
      <c r="K336" s="10"/>
    </row>
    <row r="337" outlineLevel="1">
      <c r="A337" s="3" t="s">
        <v>35</v>
      </c>
      <c r="B337" s="10"/>
      <c r="C337" s="11">
        <v>20.034</v>
      </c>
      <c r="D337" s="10"/>
      <c r="E337" s="10"/>
      <c r="J337" s="10">
        <f t="shared" si="67"/>
        <v>0</v>
      </c>
      <c r="K337" s="10"/>
    </row>
    <row r="338" outlineLevel="1">
      <c r="A338" s="3" t="s">
        <v>36</v>
      </c>
      <c r="B338" s="10"/>
      <c r="C338" s="11">
        <v>23.32</v>
      </c>
      <c r="D338" s="10"/>
      <c r="E338" s="10"/>
      <c r="J338" s="10">
        <f t="shared" si="67"/>
        <v>0</v>
      </c>
      <c r="K338" s="10"/>
    </row>
    <row r="339">
      <c r="A339" s="3" t="s">
        <v>23</v>
      </c>
      <c r="B339" s="11">
        <f>B342</f>
        <v>155.825</v>
      </c>
      <c r="C339" s="10">
        <f>SUM(C340:C347)</f>
        <v>113.155</v>
      </c>
      <c r="D339" s="11">
        <v>32.2</v>
      </c>
      <c r="E339" s="10">
        <f>SUM(B339:D339)</f>
        <v>301.18</v>
      </c>
      <c r="F339" s="6">
        <f t="shared" ref="F339:H339" si="98">B339/$E339</f>
        <v>0.5173816322</v>
      </c>
      <c r="G339" s="6">
        <f t="shared" si="98"/>
        <v>0.3757055581</v>
      </c>
      <c r="H339" s="6">
        <f t="shared" si="98"/>
        <v>0.1069128096</v>
      </c>
      <c r="J339" s="10">
        <f t="shared" si="67"/>
        <v>32.2</v>
      </c>
      <c r="K339" s="11">
        <f>SUM(B339:C339)</f>
        <v>268.98</v>
      </c>
      <c r="L339" s="6">
        <f t="shared" ref="L339:M339" si="99">B339/$K339</f>
        <v>0.5793181649</v>
      </c>
      <c r="M339" s="6">
        <f t="shared" si="99"/>
        <v>0.4206818351</v>
      </c>
    </row>
    <row r="340" outlineLevel="1">
      <c r="A340" s="3" t="s">
        <v>29</v>
      </c>
      <c r="B340" s="10"/>
      <c r="C340" s="11">
        <v>48.952</v>
      </c>
      <c r="D340" s="10"/>
      <c r="E340" s="10"/>
      <c r="J340" s="10">
        <f t="shared" si="67"/>
        <v>0</v>
      </c>
      <c r="K340" s="10"/>
    </row>
    <row r="341" outlineLevel="1">
      <c r="A341" s="3" t="s">
        <v>30</v>
      </c>
      <c r="B341" s="10"/>
      <c r="C341" s="11">
        <v>-2.668</v>
      </c>
      <c r="D341" s="10"/>
      <c r="E341" s="10"/>
      <c r="J341" s="10">
        <f t="shared" si="67"/>
        <v>0</v>
      </c>
      <c r="K341" s="10"/>
    </row>
    <row r="342" outlineLevel="1">
      <c r="A342" s="3" t="s">
        <v>31</v>
      </c>
      <c r="B342" s="11">
        <f>173.888-C343</f>
        <v>155.825</v>
      </c>
      <c r="C342" s="10"/>
      <c r="D342" s="10"/>
      <c r="E342" s="10"/>
      <c r="J342" s="10">
        <f t="shared" si="67"/>
        <v>0</v>
      </c>
      <c r="K342" s="10"/>
    </row>
    <row r="343" outlineLevel="2">
      <c r="A343" s="3" t="s">
        <v>37</v>
      </c>
      <c r="B343" s="10"/>
      <c r="C343" s="11">
        <v>18.063</v>
      </c>
      <c r="D343" s="10"/>
      <c r="E343" s="10"/>
      <c r="J343" s="10">
        <f t="shared" si="67"/>
        <v>0</v>
      </c>
      <c r="K343" s="10"/>
    </row>
    <row r="344" outlineLevel="2">
      <c r="A344" s="3" t="s">
        <v>38</v>
      </c>
      <c r="B344" s="10"/>
      <c r="C344" s="10"/>
      <c r="D344" s="10"/>
      <c r="E344" s="10"/>
      <c r="J344" s="10">
        <f t="shared" si="67"/>
        <v>0</v>
      </c>
      <c r="K344" s="10"/>
    </row>
    <row r="345" outlineLevel="1">
      <c r="A345" s="3" t="s">
        <v>34</v>
      </c>
      <c r="B345" s="10"/>
      <c r="C345" s="11">
        <v>5.647</v>
      </c>
      <c r="D345" s="10"/>
      <c r="E345" s="10"/>
      <c r="J345" s="10">
        <f t="shared" si="67"/>
        <v>0</v>
      </c>
      <c r="K345" s="10"/>
    </row>
    <row r="346" outlineLevel="1">
      <c r="A346" s="3" t="s">
        <v>35</v>
      </c>
      <c r="B346" s="10"/>
      <c r="C346" s="11">
        <v>18.609</v>
      </c>
      <c r="D346" s="10"/>
      <c r="E346" s="10"/>
      <c r="J346" s="10">
        <f t="shared" si="67"/>
        <v>0</v>
      </c>
      <c r="K346" s="10"/>
    </row>
    <row r="347" outlineLevel="1">
      <c r="A347" s="3" t="s">
        <v>36</v>
      </c>
      <c r="B347" s="10"/>
      <c r="C347" s="11">
        <v>24.552</v>
      </c>
      <c r="D347" s="10"/>
      <c r="E347" s="10"/>
      <c r="J347" s="10">
        <f t="shared" si="67"/>
        <v>0</v>
      </c>
      <c r="K347" s="10"/>
    </row>
    <row r="348">
      <c r="A348" s="3" t="s">
        <v>24</v>
      </c>
      <c r="B348" s="11">
        <f>B351+B353</f>
        <v>164.738</v>
      </c>
      <c r="C348" s="10">
        <f>SUM(C349:C356)</f>
        <v>112.391</v>
      </c>
      <c r="D348" s="11">
        <v>42.79</v>
      </c>
      <c r="E348" s="10">
        <f>SUM(B348:D348)</f>
        <v>319.919</v>
      </c>
      <c r="F348" s="6">
        <f t="shared" ref="F348:H348" si="100">B348/$E348</f>
        <v>0.5149365933</v>
      </c>
      <c r="G348" s="6">
        <f t="shared" si="100"/>
        <v>0.3513108005</v>
      </c>
      <c r="H348" s="6">
        <f t="shared" si="100"/>
        <v>0.1337526061</v>
      </c>
      <c r="J348" s="10">
        <f t="shared" si="67"/>
        <v>42.79</v>
      </c>
      <c r="K348" s="11">
        <f>SUM(B348:C348)</f>
        <v>277.129</v>
      </c>
      <c r="L348" s="6">
        <f t="shared" ref="L348:M348" si="101">B348/$K348</f>
        <v>0.5944451862</v>
      </c>
      <c r="M348" s="6">
        <f t="shared" si="101"/>
        <v>0.4055548138</v>
      </c>
    </row>
    <row r="349" outlineLevel="1">
      <c r="A349" s="3" t="s">
        <v>29</v>
      </c>
      <c r="B349" s="10"/>
      <c r="C349" s="11">
        <v>44.878</v>
      </c>
      <c r="D349" s="10"/>
      <c r="E349" s="10"/>
      <c r="J349" s="10">
        <f t="shared" si="67"/>
        <v>0</v>
      </c>
      <c r="K349" s="10"/>
    </row>
    <row r="350" outlineLevel="1">
      <c r="A350" s="3" t="s">
        <v>30</v>
      </c>
      <c r="B350" s="10"/>
      <c r="C350" s="11">
        <f>2.041-2.916</f>
        <v>-0.875</v>
      </c>
      <c r="D350" s="10"/>
      <c r="E350" s="10"/>
      <c r="J350" s="10">
        <f t="shared" si="67"/>
        <v>0</v>
      </c>
      <c r="K350" s="10"/>
    </row>
    <row r="351" outlineLevel="1">
      <c r="A351" s="3" t="s">
        <v>31</v>
      </c>
      <c r="B351" s="11">
        <f>182.234-C352-B353</f>
        <v>151.87</v>
      </c>
      <c r="C351" s="10"/>
      <c r="D351" s="10"/>
      <c r="E351" s="10"/>
      <c r="J351" s="10">
        <f t="shared" si="67"/>
        <v>0</v>
      </c>
      <c r="K351" s="10"/>
    </row>
    <row r="352" outlineLevel="2">
      <c r="A352" s="3" t="s">
        <v>37</v>
      </c>
      <c r="B352" s="10"/>
      <c r="C352" s="11">
        <v>17.496</v>
      </c>
      <c r="D352" s="10"/>
      <c r="E352" s="10"/>
      <c r="J352" s="10">
        <f t="shared" si="67"/>
        <v>0</v>
      </c>
      <c r="K352" s="10"/>
    </row>
    <row r="353" outlineLevel="2">
      <c r="A353" s="3" t="s">
        <v>38</v>
      </c>
      <c r="B353" s="11">
        <v>12.868</v>
      </c>
      <c r="C353" s="10"/>
      <c r="D353" s="10"/>
      <c r="E353" s="10"/>
      <c r="J353" s="10">
        <f t="shared" si="67"/>
        <v>0</v>
      </c>
      <c r="K353" s="10"/>
    </row>
    <row r="354" outlineLevel="1">
      <c r="A354" s="3" t="s">
        <v>34</v>
      </c>
      <c r="B354" s="10"/>
      <c r="C354" s="11">
        <v>5.535</v>
      </c>
      <c r="D354" s="10"/>
      <c r="E354" s="10"/>
      <c r="J354" s="10">
        <f t="shared" si="67"/>
        <v>0</v>
      </c>
      <c r="K354" s="10"/>
    </row>
    <row r="355" outlineLevel="1">
      <c r="A355" s="3" t="s">
        <v>35</v>
      </c>
      <c r="B355" s="10"/>
      <c r="C355" s="11">
        <v>20.724</v>
      </c>
      <c r="D355" s="10"/>
      <c r="E355" s="10"/>
      <c r="J355" s="10">
        <f t="shared" si="67"/>
        <v>0</v>
      </c>
      <c r="K355" s="10"/>
    </row>
    <row r="356" outlineLevel="1">
      <c r="A356" s="3" t="s">
        <v>36</v>
      </c>
      <c r="B356" s="10"/>
      <c r="C356" s="11">
        <v>24.633</v>
      </c>
      <c r="D356" s="10"/>
      <c r="E356" s="10"/>
      <c r="J356" s="10">
        <f t="shared" si="67"/>
        <v>0</v>
      </c>
      <c r="K356" s="10"/>
    </row>
    <row r="357">
      <c r="A357" s="3" t="s">
        <v>25</v>
      </c>
      <c r="B357" s="11">
        <f>B360+B362</f>
        <v>175.182</v>
      </c>
      <c r="C357" s="10">
        <f>SUM(C358:C365)</f>
        <v>96.839</v>
      </c>
      <c r="D357" s="11">
        <v>42.987</v>
      </c>
      <c r="E357" s="10">
        <f>SUM(B357:D357)</f>
        <v>315.008</v>
      </c>
      <c r="F357" s="6">
        <f t="shared" ref="F357:H357" si="102">B357/$E357</f>
        <v>0.5561192097</v>
      </c>
      <c r="G357" s="6">
        <f t="shared" si="102"/>
        <v>0.3074175894</v>
      </c>
      <c r="H357" s="6">
        <f t="shared" si="102"/>
        <v>0.1364632009</v>
      </c>
      <c r="J357" s="10">
        <f t="shared" si="67"/>
        <v>42.987</v>
      </c>
      <c r="K357" s="11">
        <f>SUM(B357:C357)</f>
        <v>272.021</v>
      </c>
      <c r="L357" s="6">
        <f t="shared" ref="L357:M357" si="103">B357/$K357</f>
        <v>0.6440017499</v>
      </c>
      <c r="M357" s="6">
        <f t="shared" si="103"/>
        <v>0.3559982501</v>
      </c>
    </row>
    <row r="358" outlineLevel="1">
      <c r="A358" s="3" t="s">
        <v>29</v>
      </c>
      <c r="B358" s="10"/>
      <c r="C358" s="11">
        <v>28.094</v>
      </c>
      <c r="D358" s="10"/>
      <c r="E358" s="10"/>
      <c r="J358" s="10">
        <f t="shared" si="67"/>
        <v>0</v>
      </c>
      <c r="K358" s="10"/>
    </row>
    <row r="359" outlineLevel="1">
      <c r="A359" s="3" t="s">
        <v>30</v>
      </c>
      <c r="B359" s="10"/>
      <c r="C359" s="10">
        <f>1.81-2.586</f>
        <v>-0.776</v>
      </c>
      <c r="D359" s="10"/>
      <c r="E359" s="10"/>
      <c r="J359" s="10">
        <f t="shared" si="67"/>
        <v>0</v>
      </c>
      <c r="K359" s="10"/>
    </row>
    <row r="360" outlineLevel="1">
      <c r="A360" s="3" t="s">
        <v>31</v>
      </c>
      <c r="B360" s="11">
        <f>191.276-C361-B362</f>
        <v>154.417</v>
      </c>
      <c r="C360" s="10"/>
      <c r="D360" s="10"/>
      <c r="E360" s="10"/>
      <c r="J360" s="10">
        <f t="shared" si="67"/>
        <v>0</v>
      </c>
      <c r="K360" s="10"/>
    </row>
    <row r="361" outlineLevel="2">
      <c r="A361" s="3" t="s">
        <v>37</v>
      </c>
      <c r="B361" s="10"/>
      <c r="C361" s="11">
        <v>16.094</v>
      </c>
      <c r="D361" s="10"/>
      <c r="E361" s="10"/>
      <c r="J361" s="10">
        <f t="shared" si="67"/>
        <v>0</v>
      </c>
      <c r="K361" s="10"/>
    </row>
    <row r="362" outlineLevel="2">
      <c r="A362" s="3" t="s">
        <v>38</v>
      </c>
      <c r="B362" s="11">
        <v>20.765</v>
      </c>
      <c r="C362" s="10"/>
      <c r="D362" s="10"/>
      <c r="E362" s="10"/>
      <c r="J362" s="10">
        <f t="shared" si="67"/>
        <v>0</v>
      </c>
      <c r="K362" s="10"/>
    </row>
    <row r="363" outlineLevel="1">
      <c r="A363" s="3" t="s">
        <v>34</v>
      </c>
      <c r="B363" s="10"/>
      <c r="C363" s="11">
        <v>5.449</v>
      </c>
      <c r="D363" s="10"/>
      <c r="E363" s="10"/>
      <c r="J363" s="10">
        <f t="shared" si="67"/>
        <v>0</v>
      </c>
      <c r="K363" s="10"/>
    </row>
    <row r="364" outlineLevel="1">
      <c r="A364" s="3" t="s">
        <v>35</v>
      </c>
      <c r="B364" s="10"/>
      <c r="C364" s="11">
        <v>20.304</v>
      </c>
      <c r="D364" s="10"/>
      <c r="E364" s="10"/>
      <c r="J364" s="10">
        <f t="shared" si="67"/>
        <v>0</v>
      </c>
      <c r="K364" s="10"/>
    </row>
    <row r="365" outlineLevel="1">
      <c r="A365" s="3" t="s">
        <v>36</v>
      </c>
      <c r="B365" s="10"/>
      <c r="C365" s="11">
        <v>27.674</v>
      </c>
      <c r="D365" s="10"/>
      <c r="E365" s="10"/>
      <c r="J365" s="10">
        <f t="shared" si="67"/>
        <v>0</v>
      </c>
      <c r="K365" s="10"/>
    </row>
    <row r="366">
      <c r="A366" s="3" t="s">
        <v>26</v>
      </c>
      <c r="B366" s="11">
        <f>B369+B371</f>
        <v>141.585</v>
      </c>
      <c r="C366" s="10">
        <f>SUM(C367:C374)</f>
        <v>112.78</v>
      </c>
      <c r="D366" s="11">
        <v>51.251</v>
      </c>
      <c r="E366" s="10">
        <f>SUM(B366:D366)</f>
        <v>305.616</v>
      </c>
      <c r="F366" s="6">
        <f t="shared" ref="F366:H366" si="104">B366/$E366</f>
        <v>0.4632774462</v>
      </c>
      <c r="G366" s="6">
        <f t="shared" si="104"/>
        <v>0.3690251819</v>
      </c>
      <c r="H366" s="6">
        <f t="shared" si="104"/>
        <v>0.1676973719</v>
      </c>
      <c r="J366" s="10">
        <f t="shared" si="67"/>
        <v>51.251</v>
      </c>
      <c r="K366" s="11">
        <f>SUM(B366:C366)</f>
        <v>254.365</v>
      </c>
      <c r="L366" s="6">
        <f t="shared" ref="L366:M366" si="105">B366/$K366</f>
        <v>0.5566213905</v>
      </c>
      <c r="M366" s="6">
        <f t="shared" si="105"/>
        <v>0.4433786095</v>
      </c>
    </row>
    <row r="367" outlineLevel="1">
      <c r="A367" s="3" t="s">
        <v>29</v>
      </c>
      <c r="B367" s="10"/>
      <c r="C367" s="11">
        <v>39.949</v>
      </c>
      <c r="D367" s="10"/>
      <c r="E367" s="10"/>
      <c r="J367" s="10">
        <f t="shared" si="67"/>
        <v>0</v>
      </c>
      <c r="K367" s="10"/>
    </row>
    <row r="368" outlineLevel="1">
      <c r="A368" s="3" t="s">
        <v>30</v>
      </c>
      <c r="B368" s="10"/>
      <c r="C368" s="10">
        <f>1.53-2.186</f>
        <v>-0.656</v>
      </c>
      <c r="D368" s="10"/>
      <c r="E368" s="10"/>
      <c r="J368" s="10">
        <f t="shared" si="67"/>
        <v>0</v>
      </c>
      <c r="K368" s="10"/>
    </row>
    <row r="369" outlineLevel="1">
      <c r="A369" s="3" t="s">
        <v>31</v>
      </c>
      <c r="B369" s="11">
        <f>156.156-C370-B371</f>
        <v>129.477</v>
      </c>
      <c r="C369" s="10"/>
      <c r="D369" s="10"/>
      <c r="E369" s="10"/>
      <c r="J369" s="10">
        <f t="shared" si="67"/>
        <v>0</v>
      </c>
      <c r="K369" s="10"/>
    </row>
    <row r="370" outlineLevel="2">
      <c r="A370" s="3" t="s">
        <v>37</v>
      </c>
      <c r="B370" s="10"/>
      <c r="C370" s="11">
        <v>14.571</v>
      </c>
      <c r="D370" s="10"/>
      <c r="E370" s="10"/>
      <c r="J370" s="10">
        <f t="shared" si="67"/>
        <v>0</v>
      </c>
      <c r="K370" s="10"/>
    </row>
    <row r="371" outlineLevel="2">
      <c r="A371" s="3" t="s">
        <v>38</v>
      </c>
      <c r="B371" s="11">
        <v>12.108</v>
      </c>
      <c r="C371" s="10"/>
      <c r="D371" s="10"/>
      <c r="E371" s="10"/>
      <c r="J371" s="10">
        <f t="shared" si="67"/>
        <v>0</v>
      </c>
      <c r="K371" s="10"/>
    </row>
    <row r="372" outlineLevel="1">
      <c r="A372" s="3" t="s">
        <v>34</v>
      </c>
      <c r="B372" s="10"/>
      <c r="C372" s="11">
        <v>5.31</v>
      </c>
      <c r="D372" s="10"/>
      <c r="E372" s="10"/>
      <c r="J372" s="10">
        <f t="shared" si="67"/>
        <v>0</v>
      </c>
      <c r="K372" s="10"/>
    </row>
    <row r="373" outlineLevel="1">
      <c r="A373" s="3" t="s">
        <v>35</v>
      </c>
      <c r="B373" s="10"/>
      <c r="C373" s="11">
        <v>23.373</v>
      </c>
      <c r="D373" s="10"/>
      <c r="E373" s="10"/>
      <c r="J373" s="10">
        <f t="shared" si="67"/>
        <v>0</v>
      </c>
      <c r="K373" s="10"/>
    </row>
    <row r="374" outlineLevel="1">
      <c r="A374" s="3" t="s">
        <v>36</v>
      </c>
      <c r="B374" s="10"/>
      <c r="C374" s="11">
        <f>30.236-0.003</f>
        <v>30.233</v>
      </c>
      <c r="D374" s="10"/>
      <c r="E374" s="10"/>
      <c r="J374" s="10">
        <f t="shared" si="67"/>
        <v>0</v>
      </c>
      <c r="K374" s="10"/>
    </row>
    <row r="375">
      <c r="A375" s="3" t="s">
        <v>27</v>
      </c>
      <c r="B375" s="11">
        <f>B378+B380</f>
        <v>133.268</v>
      </c>
      <c r="C375" s="10">
        <f>SUM(C376:C383)</f>
        <v>128.018</v>
      </c>
      <c r="D375" s="11">
        <v>50.999</v>
      </c>
      <c r="E375" s="10">
        <f>SUM(B375:D375)</f>
        <v>312.285</v>
      </c>
      <c r="F375" s="6">
        <f t="shared" ref="F375:H375" si="106">B375/$E375</f>
        <v>0.4267512048</v>
      </c>
      <c r="G375" s="6">
        <f t="shared" si="106"/>
        <v>0.4099396385</v>
      </c>
      <c r="H375" s="6">
        <f t="shared" si="106"/>
        <v>0.1633091567</v>
      </c>
      <c r="J375" s="10">
        <f t="shared" si="67"/>
        <v>50.999</v>
      </c>
      <c r="K375" s="11">
        <f>SUM(B375:C375)</f>
        <v>261.286</v>
      </c>
      <c r="L375" s="6">
        <f t="shared" ref="L375:M375" si="107">B375/$K375</f>
        <v>0.5100464625</v>
      </c>
      <c r="M375" s="6">
        <f t="shared" si="107"/>
        <v>0.4899535375</v>
      </c>
    </row>
    <row r="376" outlineLevel="1">
      <c r="A376" s="3" t="s">
        <v>29</v>
      </c>
      <c r="B376" s="10"/>
      <c r="C376" s="11">
        <v>52.076</v>
      </c>
      <c r="D376" s="10"/>
      <c r="E376" s="10"/>
    </row>
    <row r="377" outlineLevel="1">
      <c r="A377" s="3" t="s">
        <v>30</v>
      </c>
      <c r="B377" s="10"/>
      <c r="C377" s="10">
        <f>1.451-2.073</f>
        <v>-0.622</v>
      </c>
      <c r="D377" s="10"/>
      <c r="E377" s="10"/>
    </row>
    <row r="378" outlineLevel="1">
      <c r="A378" s="3" t="s">
        <v>31</v>
      </c>
      <c r="B378" s="11">
        <f>146.452-C379-B380</f>
        <v>129.761</v>
      </c>
      <c r="C378" s="10"/>
      <c r="D378" s="10"/>
      <c r="E378" s="10"/>
    </row>
    <row r="379" outlineLevel="2">
      <c r="A379" s="3" t="s">
        <v>37</v>
      </c>
      <c r="B379" s="10"/>
      <c r="C379" s="11">
        <v>13.184</v>
      </c>
      <c r="D379" s="10"/>
      <c r="E379" s="10"/>
    </row>
    <row r="380" outlineLevel="2">
      <c r="A380" s="3" t="s">
        <v>38</v>
      </c>
      <c r="B380" s="11">
        <v>3.507</v>
      </c>
      <c r="C380" s="10"/>
      <c r="D380" s="10"/>
      <c r="E380" s="10"/>
    </row>
    <row r="381" outlineLevel="1">
      <c r="A381" s="3" t="s">
        <v>34</v>
      </c>
      <c r="B381" s="10"/>
      <c r="C381" s="11">
        <v>5.269</v>
      </c>
      <c r="D381" s="10"/>
      <c r="E381" s="10"/>
    </row>
    <row r="382" outlineLevel="1">
      <c r="A382" s="3" t="s">
        <v>35</v>
      </c>
      <c r="B382" s="10"/>
      <c r="C382" s="11">
        <v>22.068</v>
      </c>
      <c r="D382" s="10"/>
      <c r="E382" s="10"/>
    </row>
    <row r="383" outlineLevel="1">
      <c r="A383" s="3" t="s">
        <v>36</v>
      </c>
      <c r="B383" s="10"/>
      <c r="C383" s="11">
        <f>36.064-(0.141-0.12)</f>
        <v>36.043</v>
      </c>
      <c r="D383" s="10"/>
      <c r="E383" s="10"/>
    </row>
  </sheetData>
  <mergeCells count="2">
    <mergeCell ref="F2:H2"/>
    <mergeCell ref="F23:H23"/>
  </mergeCells>
  <drawing r:id="rId2"/>
  <legacyDrawing r:id="rId3"/>
</worksheet>
</file>