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cuments\POLI\Tesi\_Test\Totale\"/>
    </mc:Choice>
  </mc:AlternateContent>
  <xr:revisionPtr revIDLastSave="0" documentId="13_ncr:1_{3BFB9ACD-7E6C-48E1-8265-DF544091EE8F}" xr6:coauthVersionLast="47" xr6:coauthVersionMax="47" xr10:uidLastSave="{00000000-0000-0000-0000-000000000000}"/>
  <bookViews>
    <workbookView xWindow="-108" yWindow="-108" windowWidth="23256" windowHeight="12456" tabRatio="871" xr2:uid="{4D6CCAA6-28A5-4801-917C-8D20A51702CA}"/>
  </bookViews>
  <sheets>
    <sheet name="PUNTEGGI TRACCIAMENTO" sheetId="3" r:id="rId1"/>
    <sheet name="Descrizione Parametri" sheetId="27" r:id="rId2"/>
    <sheet name="Utente 1" sheetId="4" r:id="rId3"/>
    <sheet name="Utente 2" sheetId="5" r:id="rId4"/>
    <sheet name="Utente 3" sheetId="25" r:id="rId5"/>
    <sheet name="Utente 4" sheetId="7" r:id="rId6"/>
    <sheet name="Utente 5" sheetId="8" r:id="rId7"/>
    <sheet name="Utente 6" sheetId="9" r:id="rId8"/>
    <sheet name="Utente 7" sheetId="10" r:id="rId9"/>
    <sheet name="Utente 8" sheetId="11" r:id="rId10"/>
    <sheet name="Utente 9" sheetId="12" r:id="rId11"/>
    <sheet name="Utente 10" sheetId="13" r:id="rId12"/>
    <sheet name="Utente 11" sheetId="14" r:id="rId13"/>
    <sheet name="Utente 12" sheetId="15" r:id="rId14"/>
    <sheet name="Utente 13" sheetId="16" r:id="rId15"/>
    <sheet name="Utente 14" sheetId="17" r:id="rId16"/>
    <sheet name="Utente 15" sheetId="18" r:id="rId17"/>
    <sheet name="Utente 16" sheetId="19" r:id="rId18"/>
    <sheet name="Utente 17" sheetId="20" r:id="rId19"/>
    <sheet name="Utente 18" sheetId="21" r:id="rId20"/>
    <sheet name="Utente 19" sheetId="22" r:id="rId21"/>
    <sheet name="Utente 20" sheetId="23" r:id="rId22"/>
    <sheet name="Utente 21" sheetId="24" r:id="rId23"/>
  </sheets>
  <externalReferences>
    <externalReference r:id="rId24"/>
  </externalReferences>
  <definedNames>
    <definedName name="_xlchart.v1.0" hidden="1">'PUNTEGGI TRACCIAMENTO'!$R$25</definedName>
    <definedName name="_xlchart.v1.1" hidden="1">'PUNTEGGI TRACCIAMENTO'!$R$26:$R$46</definedName>
    <definedName name="_xlchart.v1.2" hidden="1">'PUNTEGGI TRACCIAMENTO'!$S$25</definedName>
    <definedName name="_xlchart.v1.3" hidden="1">'PUNTEGGI TRACCIAMENTO'!$S$26:$S$46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3" l="1" a="1"/>
  <c r="D44" i="3" a="1"/>
  <c r="K51" i="3" a="1"/>
  <c r="I53" i="3" a="1"/>
  <c r="J19" i="3" a="1"/>
  <c r="L47" i="3" a="1"/>
  <c r="L35" i="3" a="1"/>
  <c r="G35" i="3" a="1"/>
  <c r="D42" i="3" a="1"/>
  <c r="I19" i="3" a="1"/>
  <c r="C43" i="3" a="1"/>
  <c r="G22" i="3" a="1"/>
  <c r="C25" i="3" a="1"/>
  <c r="J41" i="3" a="1"/>
  <c r="D45" i="3" a="1"/>
  <c r="L44" i="3" a="1"/>
  <c r="F23" i="3" a="1"/>
  <c r="H17" i="3" a="1"/>
  <c r="E14" i="3" a="1"/>
  <c r="J20" i="3" a="1"/>
  <c r="G37" i="3" a="1"/>
  <c r="J9" i="3" a="1"/>
  <c r="K45" i="3" a="1"/>
  <c r="K17" i="3" a="1"/>
  <c r="H14" i="3" a="1"/>
  <c r="L49" i="3" a="1"/>
  <c r="I37" i="3" a="1"/>
  <c r="L41" i="3" a="1"/>
  <c r="F19" i="3" a="1"/>
  <c r="J40" i="3" a="1"/>
  <c r="D19" i="3" a="1"/>
  <c r="K41" i="3" a="1"/>
  <c r="H28" i="3" a="1"/>
  <c r="I21" i="3" a="1"/>
  <c r="E17" i="3" a="1"/>
  <c r="H8" i="3" a="1"/>
  <c r="G46" i="3" a="1"/>
  <c r="M53" i="3" a="1"/>
  <c r="L53" i="3" a="1"/>
  <c r="F54" i="3" a="1"/>
  <c r="L16" i="3" a="1"/>
  <c r="G42" i="3" a="1"/>
  <c r="M42" i="3" a="1"/>
  <c r="K12" i="3" a="1"/>
  <c r="M48" i="3" a="1"/>
  <c r="I44" i="3" a="1"/>
  <c r="H37" i="3" a="1"/>
  <c r="K23" i="3" a="1"/>
  <c r="H11" i="3" a="1"/>
  <c r="K15" i="3" a="1"/>
  <c r="M44" i="3" a="1"/>
  <c r="D48" i="3" a="1"/>
  <c r="H39" i="3" a="1"/>
  <c r="L45" i="3" a="1"/>
  <c r="M51" i="3" a="1"/>
  <c r="K50" i="3" a="1"/>
  <c r="G39" i="3" a="1"/>
  <c r="M43" i="3" a="1"/>
  <c r="I38" i="3" a="1"/>
  <c r="H25" i="3" a="1"/>
  <c r="C15" i="3" a="1"/>
  <c r="C55" i="3" a="1"/>
  <c r="E53" i="3" a="1"/>
  <c r="H51" i="3" a="1"/>
  <c r="F51" i="3" a="1"/>
  <c r="J47" i="3" a="1"/>
  <c r="G28" i="3" a="1"/>
  <c r="E40" i="3" a="1"/>
  <c r="H46" i="3" a="1"/>
  <c r="E44" i="3" a="1"/>
  <c r="I41" i="3" a="1"/>
  <c r="D35" i="3" a="1"/>
  <c r="G51" i="3" a="1"/>
  <c r="J43" i="3" a="1"/>
  <c r="G48" i="3" a="1"/>
  <c r="G40" i="3" a="1"/>
  <c r="G24" i="3" a="1"/>
  <c r="F43" i="3" a="1"/>
  <c r="D46" i="3" a="1"/>
  <c r="J46" i="3" a="1"/>
  <c r="F46" i="3" a="1"/>
  <c r="C12" i="3" a="1"/>
  <c r="C40" i="3" a="1"/>
  <c r="E47" i="3" a="1"/>
  <c r="I42" i="3" a="1"/>
  <c r="E46" i="3" a="1"/>
  <c r="H12" i="3" a="1"/>
  <c r="G13" i="3" a="1"/>
  <c r="K53" i="3" a="1"/>
  <c r="E24" i="3" a="1"/>
  <c r="K16" i="3" a="1"/>
  <c r="G55" i="3" a="1"/>
  <c r="E11" i="3" a="1"/>
  <c r="I50" i="3" a="1"/>
  <c r="J38" i="3" a="1"/>
  <c r="H9" i="3" a="1"/>
  <c r="C24" i="3" a="1"/>
  <c r="C46" i="3" a="1"/>
  <c r="C27" i="3" a="1"/>
  <c r="F25" i="3" a="1"/>
  <c r="K43" i="3" a="1"/>
  <c r="H38" i="3" a="1"/>
  <c r="C10" i="3" a="1"/>
  <c r="J49" i="3" a="1"/>
  <c r="F11" i="3" a="1"/>
  <c r="E25" i="3" a="1"/>
  <c r="G15" i="3" a="1"/>
  <c r="L10" i="3" a="1"/>
  <c r="C38" i="3" a="1"/>
  <c r="F55" i="3" a="1"/>
  <c r="L23" i="3" a="1"/>
  <c r="E41" i="3" a="1"/>
  <c r="F26" i="3" a="1"/>
  <c r="K27" i="3" a="1"/>
  <c r="K40" i="3" a="1"/>
  <c r="E37" i="3" a="1"/>
  <c r="L22" i="3" a="1"/>
  <c r="J14" i="3" a="1"/>
  <c r="I22" i="3" a="1"/>
  <c r="L27" i="3" a="1"/>
  <c r="E38" i="3" a="1"/>
  <c r="H36" i="3" a="1"/>
  <c r="K22" i="3" a="1"/>
  <c r="K19" i="3" a="1"/>
  <c r="L18" i="3" a="1"/>
  <c r="D13" i="3" a="1"/>
  <c r="G52" i="3" a="1"/>
  <c r="D10" i="3" a="1"/>
  <c r="I47" i="3" a="1"/>
  <c r="D18" i="3" a="1"/>
  <c r="J13" i="3" a="1"/>
  <c r="C18" i="3" a="1"/>
  <c r="I43" i="3" a="1"/>
  <c r="I18" i="3" a="1"/>
  <c r="H15" i="3" a="1"/>
  <c r="G50" i="3" a="1"/>
  <c r="D39" i="3" a="1"/>
  <c r="G10" i="3" a="1"/>
  <c r="G27" i="3" a="1"/>
  <c r="H47" i="3" a="1"/>
  <c r="F47" i="3" a="1"/>
  <c r="H44" i="3" a="1"/>
  <c r="F38" i="3" a="1"/>
  <c r="E12" i="3" a="1"/>
  <c r="G25" i="3" a="1"/>
  <c r="F48" i="3" a="1"/>
  <c r="J55" i="3" a="1"/>
  <c r="E28" i="3" a="1"/>
  <c r="G9" i="3" a="1"/>
  <c r="J35" i="3" a="1"/>
  <c r="L38" i="3" a="1"/>
  <c r="L8" i="3" a="1"/>
  <c r="L28" i="3" a="1"/>
  <c r="I48" i="3" a="1"/>
  <c r="J12" i="3" a="1"/>
  <c r="E18" i="3" a="1"/>
  <c r="H40" i="3" a="1"/>
  <c r="K55" i="3" a="1"/>
  <c r="K14" i="3" a="1"/>
  <c r="H16" i="3" a="1"/>
  <c r="K42" i="3" a="1"/>
  <c r="G38" i="3" a="1"/>
  <c r="I24" i="3" a="1"/>
  <c r="D8" i="3" a="1"/>
  <c r="C52" i="3" a="1"/>
  <c r="E54" i="3" a="1"/>
  <c r="G14" i="3" a="1"/>
  <c r="E55" i="3" a="1"/>
  <c r="F21" i="3" a="1"/>
  <c r="F18" i="3" a="1"/>
  <c r="D53" i="3" a="1"/>
  <c r="F15" i="3" a="1"/>
  <c r="F40" i="3" a="1"/>
  <c r="I16" i="3" a="1"/>
  <c r="L11" i="3" a="1"/>
  <c r="H10" i="3" a="1"/>
  <c r="C48" i="3" a="1"/>
  <c r="E16" i="3" a="1"/>
  <c r="G23" i="3" a="1"/>
  <c r="D54" i="3" a="1"/>
  <c r="D21" i="3" a="1"/>
  <c r="C51" i="3" a="1"/>
  <c r="F35" i="3" a="1"/>
  <c r="D55" i="3" a="1"/>
  <c r="F52" i="3" a="1"/>
  <c r="L54" i="3" a="1"/>
  <c r="K52" i="3" a="1"/>
  <c r="J39" i="3" a="1"/>
  <c r="H48" i="3" a="1"/>
  <c r="F49" i="3" a="1"/>
  <c r="E42" i="3" a="1"/>
  <c r="J53" i="3" a="1"/>
  <c r="K44" i="3" a="1"/>
  <c r="F9" i="3" a="1"/>
  <c r="L12" i="3" a="1"/>
  <c r="I27" i="3" a="1"/>
  <c r="D40" i="3" a="1"/>
  <c r="G12" i="3" a="1"/>
  <c r="K38" i="3" a="1"/>
  <c r="C50" i="3" a="1"/>
  <c r="M55" i="3" a="1"/>
  <c r="L25" i="3" a="1"/>
  <c r="D9" i="3" a="1"/>
  <c r="J21" i="3" a="1"/>
  <c r="H21" i="3" a="1"/>
  <c r="E13" i="3" a="1"/>
  <c r="D12" i="3" a="1"/>
  <c r="I54" i="3" a="1"/>
  <c r="F10" i="3" a="1"/>
  <c r="J27" i="3" a="1"/>
  <c r="L17" i="3" a="1"/>
  <c r="H24" i="3" a="1"/>
  <c r="E35" i="3" a="1"/>
  <c r="C39" i="3" a="1"/>
  <c r="I9" i="3" a="1"/>
  <c r="H49" i="3" a="1"/>
  <c r="I8" i="3" a="1"/>
  <c r="H26" i="3" a="1"/>
  <c r="J23" i="3" a="1"/>
  <c r="C35" i="3" a="1"/>
  <c r="F53" i="3" a="1"/>
  <c r="K8" i="3" a="1"/>
  <c r="K49" i="3" a="1"/>
  <c r="L19" i="3" a="1"/>
  <c r="L39" i="3" a="1"/>
  <c r="E51" i="3" a="1"/>
  <c r="H45" i="3" a="1"/>
  <c r="F22" i="3" a="1"/>
  <c r="J17" i="3" a="1"/>
  <c r="I26" i="3" a="1"/>
  <c r="J8" i="3" a="1"/>
  <c r="H35" i="3" a="1"/>
  <c r="E15" i="3" a="1"/>
  <c r="M38" i="3" a="1"/>
  <c r="J26" i="3" a="1"/>
  <c r="G47" i="3" a="1"/>
  <c r="K35" i="3" a="1"/>
  <c r="D47" i="3" a="1"/>
  <c r="C9" i="3" a="1"/>
  <c r="C17" i="3" a="1"/>
  <c r="J25" i="3" a="1"/>
  <c r="C44" i="3" a="1"/>
  <c r="C41" i="3" a="1"/>
  <c r="C54" i="3" a="1"/>
  <c r="H22" i="3" a="1"/>
  <c r="G36" i="3" a="1"/>
  <c r="C19" i="3" a="1"/>
  <c r="K9" i="3" a="1"/>
  <c r="E22" i="3" a="1"/>
  <c r="M52" i="3" a="1"/>
  <c r="D38" i="3" a="1"/>
  <c r="J51" i="3" a="1"/>
  <c r="F37" i="3" a="1"/>
  <c r="F50" i="3" a="1"/>
  <c r="J52" i="3" a="1"/>
  <c r="G8" i="3" a="1"/>
  <c r="J42" i="3" a="1"/>
  <c r="D17" i="3" a="1"/>
  <c r="I11" i="3" a="1"/>
  <c r="M39" i="3" a="1"/>
  <c r="H27" i="3" a="1"/>
  <c r="F13" i="3" a="1"/>
  <c r="M41" i="3" a="1"/>
  <c r="J45" i="3" a="1"/>
  <c r="G44" i="3" a="1"/>
  <c r="F8" i="3" a="1"/>
  <c r="C23" i="3" a="1"/>
  <c r="F17" i="3" a="1"/>
  <c r="E43" i="3" a="1"/>
  <c r="F12" i="3" a="1"/>
  <c r="E21" i="3" a="1"/>
  <c r="F39" i="3" a="1"/>
  <c r="F24" i="3" a="1"/>
  <c r="L26" i="3" a="1"/>
  <c r="E36" i="3" a="1"/>
  <c r="C20" i="3" a="1"/>
  <c r="E19" i="3" a="1"/>
  <c r="K21" i="3" a="1"/>
  <c r="H23" i="3" a="1"/>
  <c r="K36" i="3" a="1"/>
  <c r="C36" i="3" a="1"/>
  <c r="I23" i="3" a="1"/>
  <c r="M50" i="3" a="1"/>
  <c r="D43" i="3" a="1"/>
  <c r="H55" i="3" a="1"/>
  <c r="D11" i="3" a="1"/>
  <c r="C22" i="3" a="1"/>
  <c r="D22" i="3" a="1"/>
  <c r="K25" i="3" a="1"/>
  <c r="K13" i="3" a="1"/>
  <c r="J54" i="3" a="1"/>
  <c r="L51" i="3" a="1"/>
  <c r="L37" i="3" a="1"/>
  <c r="I45" i="3" a="1"/>
  <c r="G26" i="3" a="1"/>
  <c r="E39" i="3" a="1"/>
  <c r="L43" i="3" a="1"/>
  <c r="J11" i="3" a="1"/>
  <c r="J48" i="3" a="1"/>
  <c r="M46" i="3" a="1"/>
  <c r="L14" i="3" a="1"/>
  <c r="I14" i="3" a="1"/>
  <c r="G41" i="3" a="1"/>
  <c r="M36" i="3" a="1"/>
  <c r="L24" i="3" a="1"/>
  <c r="E23" i="3" a="1"/>
  <c r="I36" i="3" a="1"/>
  <c r="D50" i="3" a="1"/>
  <c r="C45" i="3" a="1"/>
  <c r="M54" i="3" a="1"/>
  <c r="E49" i="3" a="1"/>
  <c r="F27" i="3" a="1"/>
  <c r="I51" i="3" a="1"/>
  <c r="G18" i="3" a="1"/>
  <c r="J44" i="3" a="1"/>
  <c r="J15" i="3" a="1"/>
  <c r="C11" i="3" a="1"/>
  <c r="G54" i="3" a="1"/>
  <c r="E48" i="3" a="1"/>
  <c r="J16" i="3" a="1"/>
  <c r="H20" i="3" a="1"/>
  <c r="C49" i="3" a="1"/>
  <c r="H50" i="3" a="1"/>
  <c r="J10" i="3" a="1"/>
  <c r="H43" i="3" a="1"/>
  <c r="J28" i="3" a="1"/>
  <c r="G17" i="3" a="1"/>
  <c r="D36" i="3" a="1"/>
  <c r="G20" i="3" a="1"/>
  <c r="E10" i="3" a="1"/>
  <c r="C13" i="3" a="1"/>
  <c r="G43" i="3" a="1"/>
  <c r="H13" i="3" a="1"/>
  <c r="I25" i="3" a="1"/>
  <c r="I17" i="3" a="1"/>
  <c r="D15" i="3" a="1"/>
  <c r="L36" i="3" a="1"/>
  <c r="L40" i="3" a="1"/>
  <c r="F36" i="3" a="1"/>
  <c r="K24" i="3" a="1"/>
  <c r="K39" i="3" a="1"/>
  <c r="I46" i="3" a="1"/>
  <c r="G49" i="3" a="1"/>
  <c r="J36" i="3" a="1"/>
  <c r="I35" i="3" a="1"/>
  <c r="C14" i="3" a="1"/>
  <c r="I40" i="3" a="1"/>
  <c r="I49" i="3" a="1"/>
  <c r="L48" i="3" a="1"/>
  <c r="D14" i="3" a="1"/>
  <c r="C28" i="3" a="1"/>
  <c r="I39" i="3" a="1"/>
  <c r="I55" i="3" a="1"/>
  <c r="C26" i="3" a="1"/>
  <c r="C16" i="3" a="1"/>
  <c r="L13" i="3" a="1"/>
  <c r="J18" i="3" a="1"/>
  <c r="G45" i="3" a="1"/>
  <c r="E20" i="3" a="1"/>
  <c r="L52" i="3" a="1"/>
  <c r="I20" i="3" a="1"/>
  <c r="D37" i="3" a="1"/>
  <c r="M40" i="3" a="1"/>
  <c r="M49" i="3" a="1"/>
  <c r="C8" i="3" a="1"/>
  <c r="M37" i="3" a="1"/>
  <c r="J24" i="3" a="1"/>
  <c r="H52" i="3" a="1"/>
  <c r="I15" i="3" a="1"/>
  <c r="H54" i="3" a="1"/>
  <c r="C37" i="3" a="1"/>
  <c r="H53" i="3" a="1"/>
  <c r="F28" i="3" a="1"/>
  <c r="J50" i="3" a="1"/>
  <c r="I13" i="3" a="1"/>
  <c r="L20" i="3" a="1"/>
  <c r="F44" i="3" a="1"/>
  <c r="K26" i="3" a="1"/>
  <c r="L50" i="3" a="1"/>
  <c r="C47" i="3" a="1"/>
  <c r="K37" i="3" a="1"/>
  <c r="F14" i="3" a="1"/>
  <c r="D52" i="3" a="1"/>
  <c r="M47" i="3" a="1"/>
  <c r="E9" i="3" a="1"/>
  <c r="K20" i="3" a="1"/>
  <c r="D51" i="3" a="1"/>
  <c r="D41" i="3" a="1"/>
  <c r="F42" i="3" a="1"/>
  <c r="L46" i="3" a="1"/>
  <c r="L42" i="3" a="1"/>
  <c r="L55" i="3" a="1"/>
  <c r="C42" i="3" a="1"/>
  <c r="E52" i="3" a="1"/>
  <c r="I12" i="3" a="1"/>
  <c r="K10" i="3" a="1"/>
  <c r="E50" i="3" a="1"/>
  <c r="G11" i="3" a="1"/>
  <c r="I10" i="3" a="1"/>
  <c r="D20" i="3" a="1"/>
  <c r="K47" i="3" a="1"/>
  <c r="L9" i="3" a="1"/>
  <c r="H18" i="3" a="1"/>
  <c r="L15" i="3" a="1"/>
  <c r="G16" i="3" a="1"/>
  <c r="H41" i="3" a="1"/>
  <c r="F45" i="3" a="1"/>
  <c r="J22" i="3" a="1"/>
  <c r="L21" i="3" a="1"/>
  <c r="K54" i="3" a="1"/>
  <c r="C21" i="3" a="1"/>
  <c r="F16" i="3" a="1"/>
  <c r="G53" i="3" a="1"/>
  <c r="K28" i="3" a="1"/>
  <c r="M45" i="3" a="1"/>
  <c r="K46" i="3" a="1"/>
  <c r="H19" i="3" a="1"/>
  <c r="D16" i="3" a="1"/>
  <c r="I52" i="3" a="1"/>
  <c r="J37" i="3" a="1"/>
  <c r="E26" i="3" a="1"/>
  <c r="I28" i="3" a="1"/>
  <c r="E8" i="3" a="1"/>
  <c r="G19" i="3" a="1"/>
  <c r="K48" i="3" a="1"/>
  <c r="D49" i="3" a="1"/>
  <c r="K18" i="3" a="1"/>
  <c r="F20" i="3" a="1"/>
  <c r="E27" i="3" a="1"/>
  <c r="K11" i="3" a="1"/>
  <c r="F41" i="3" a="1"/>
  <c r="E45" i="3" a="1"/>
  <c r="G21" i="3" a="1"/>
  <c r="C53" i="3" a="1"/>
  <c r="C53" i="3" l="1"/>
  <c r="G21" i="3"/>
  <c r="E45" i="3"/>
  <c r="F41" i="3"/>
  <c r="K11" i="3"/>
  <c r="E27" i="3"/>
  <c r="F20" i="3"/>
  <c r="K18" i="3"/>
  <c r="D49" i="3"/>
  <c r="K48" i="3"/>
  <c r="G19" i="3"/>
  <c r="E8" i="3"/>
  <c r="I28" i="3"/>
  <c r="E26" i="3"/>
  <c r="J37" i="3"/>
  <c r="I52" i="3"/>
  <c r="D16" i="3"/>
  <c r="H19" i="3"/>
  <c r="K46" i="3"/>
  <c r="M45" i="3"/>
  <c r="K28" i="3"/>
  <c r="G53" i="3"/>
  <c r="F16" i="3"/>
  <c r="C21" i="3"/>
  <c r="K54" i="3"/>
  <c r="L21" i="3"/>
  <c r="J22" i="3"/>
  <c r="F45" i="3"/>
  <c r="H41" i="3"/>
  <c r="G16" i="3"/>
  <c r="L15" i="3"/>
  <c r="H18" i="3"/>
  <c r="L9" i="3"/>
  <c r="K47" i="3"/>
  <c r="D20" i="3"/>
  <c r="I10" i="3"/>
  <c r="G11" i="3"/>
  <c r="E50" i="3"/>
  <c r="K10" i="3"/>
  <c r="I12" i="3"/>
  <c r="E52" i="3"/>
  <c r="C42" i="3"/>
  <c r="L55" i="3"/>
  <c r="L42" i="3"/>
  <c r="L46" i="3"/>
  <c r="F42" i="3"/>
  <c r="D41" i="3"/>
  <c r="D51" i="3"/>
  <c r="K20" i="3"/>
  <c r="E9" i="3"/>
  <c r="M47" i="3"/>
  <c r="D52" i="3"/>
  <c r="F14" i="3"/>
  <c r="K37" i="3"/>
  <c r="C47" i="3"/>
  <c r="L50" i="3"/>
  <c r="K26" i="3"/>
  <c r="F44" i="3"/>
  <c r="L20" i="3"/>
  <c r="I13" i="3"/>
  <c r="J50" i="3"/>
  <c r="F28" i="3"/>
  <c r="H53" i="3"/>
  <c r="C37" i="3"/>
  <c r="H54" i="3"/>
  <c r="I15" i="3"/>
  <c r="H52" i="3"/>
  <c r="J24" i="3"/>
  <c r="M37" i="3"/>
  <c r="C8" i="3"/>
  <c r="M49" i="3"/>
  <c r="M40" i="3"/>
  <c r="D37" i="3"/>
  <c r="I20" i="3"/>
  <c r="L52" i="3"/>
  <c r="E20" i="3"/>
  <c r="G45" i="3"/>
  <c r="J18" i="3"/>
  <c r="L13" i="3"/>
  <c r="C16" i="3"/>
  <c r="C26" i="3"/>
  <c r="I55" i="3"/>
  <c r="I39" i="3"/>
  <c r="C28" i="3"/>
  <c r="D14" i="3"/>
  <c r="L48" i="3"/>
  <c r="I49" i="3"/>
  <c r="I40" i="3"/>
  <c r="C14" i="3"/>
  <c r="I35" i="3"/>
  <c r="J36" i="3"/>
  <c r="G49" i="3"/>
  <c r="I46" i="3"/>
  <c r="K39" i="3"/>
  <c r="K24" i="3"/>
  <c r="F36" i="3"/>
  <c r="L40" i="3"/>
  <c r="L36" i="3"/>
  <c r="D15" i="3"/>
  <c r="I17" i="3"/>
  <c r="I25" i="3"/>
  <c r="H13" i="3"/>
  <c r="G43" i="3"/>
  <c r="C13" i="3"/>
  <c r="E10" i="3"/>
  <c r="G20" i="3"/>
  <c r="D36" i="3"/>
  <c r="G17" i="3"/>
  <c r="J28" i="3"/>
  <c r="H43" i="3"/>
  <c r="J10" i="3"/>
  <c r="H50" i="3"/>
  <c r="C49" i="3"/>
  <c r="H20" i="3"/>
  <c r="J16" i="3"/>
  <c r="E48" i="3"/>
  <c r="G54" i="3"/>
  <c r="C11" i="3"/>
  <c r="J15" i="3"/>
  <c r="J44" i="3"/>
  <c r="G18" i="3"/>
  <c r="I51" i="3"/>
  <c r="F27" i="3"/>
  <c r="E49" i="3"/>
  <c r="M54" i="3"/>
  <c r="C45" i="3"/>
  <c r="D50" i="3"/>
  <c r="I36" i="3"/>
  <c r="E23" i="3"/>
  <c r="L24" i="3"/>
  <c r="M36" i="3"/>
  <c r="G41" i="3"/>
  <c r="I14" i="3"/>
  <c r="L14" i="3"/>
  <c r="M46" i="3"/>
  <c r="J48" i="3"/>
  <c r="J11" i="3"/>
  <c r="L43" i="3"/>
  <c r="E39" i="3"/>
  <c r="G26" i="3"/>
  <c r="I45" i="3"/>
  <c r="L37" i="3"/>
  <c r="L51" i="3"/>
  <c r="J54" i="3"/>
  <c r="K13" i="3"/>
  <c r="K25" i="3"/>
  <c r="D22" i="3"/>
  <c r="C22" i="3"/>
  <c r="D11" i="3"/>
  <c r="H55" i="3"/>
  <c r="D43" i="3"/>
  <c r="M50" i="3"/>
  <c r="I23" i="3"/>
  <c r="C36" i="3"/>
  <c r="K36" i="3"/>
  <c r="H23" i="3"/>
  <c r="K21" i="3"/>
  <c r="E19" i="3"/>
  <c r="C20" i="3"/>
  <c r="E36" i="3"/>
  <c r="L26" i="3"/>
  <c r="F24" i="3"/>
  <c r="F39" i="3"/>
  <c r="E21" i="3"/>
  <c r="F12" i="3"/>
  <c r="E43" i="3"/>
  <c r="F17" i="3"/>
  <c r="C23" i="3"/>
  <c r="F8" i="3"/>
  <c r="G44" i="3"/>
  <c r="J45" i="3"/>
  <c r="M41" i="3"/>
  <c r="F13" i="3"/>
  <c r="H27" i="3"/>
  <c r="M39" i="3"/>
  <c r="I11" i="3"/>
  <c r="D17" i="3"/>
  <c r="J42" i="3"/>
  <c r="G8" i="3"/>
  <c r="J52" i="3"/>
  <c r="F50" i="3"/>
  <c r="F37" i="3"/>
  <c r="J51" i="3"/>
  <c r="D38" i="3"/>
  <c r="M52" i="3"/>
  <c r="E22" i="3"/>
  <c r="K9" i="3"/>
  <c r="C19" i="3"/>
  <c r="G36" i="3"/>
  <c r="H22" i="3"/>
  <c r="C54" i="3"/>
  <c r="C41" i="3"/>
  <c r="C44" i="3"/>
  <c r="J25" i="3"/>
  <c r="C17" i="3"/>
  <c r="C9" i="3"/>
  <c r="D47" i="3"/>
  <c r="K35" i="3"/>
  <c r="G47" i="3"/>
  <c r="J26" i="3"/>
  <c r="M38" i="3"/>
  <c r="E15" i="3"/>
  <c r="H35" i="3"/>
  <c r="J8" i="3"/>
  <c r="I26" i="3"/>
  <c r="J17" i="3"/>
  <c r="F22" i="3"/>
  <c r="H45" i="3"/>
  <c r="E51" i="3"/>
  <c r="L39" i="3"/>
  <c r="L19" i="3"/>
  <c r="K49" i="3"/>
  <c r="K8" i="3"/>
  <c r="F53" i="3"/>
  <c r="C35" i="3"/>
  <c r="J23" i="3"/>
  <c r="H26" i="3"/>
  <c r="I8" i="3"/>
  <c r="H49" i="3"/>
  <c r="I9" i="3"/>
  <c r="C39" i="3"/>
  <c r="E35" i="3"/>
  <c r="H24" i="3"/>
  <c r="L17" i="3"/>
  <c r="J27" i="3"/>
  <c r="F10" i="3"/>
  <c r="I54" i="3"/>
  <c r="D12" i="3"/>
  <c r="E13" i="3"/>
  <c r="H21" i="3"/>
  <c r="J21" i="3"/>
  <c r="D9" i="3"/>
  <c r="L25" i="3"/>
  <c r="M55" i="3"/>
  <c r="C50" i="3"/>
  <c r="K38" i="3"/>
  <c r="G12" i="3"/>
  <c r="D40" i="3"/>
  <c r="I27" i="3"/>
  <c r="L12" i="3"/>
  <c r="F9" i="3"/>
  <c r="K44" i="3"/>
  <c r="J53" i="3"/>
  <c r="E42" i="3"/>
  <c r="F49" i="3"/>
  <c r="H48" i="3"/>
  <c r="J39" i="3"/>
  <c r="K52" i="3"/>
  <c r="L54" i="3"/>
  <c r="F52" i="3"/>
  <c r="D55" i="3"/>
  <c r="F35" i="3"/>
  <c r="C51" i="3"/>
  <c r="D21" i="3"/>
  <c r="D54" i="3"/>
  <c r="G23" i="3"/>
  <c r="E16" i="3"/>
  <c r="C48" i="3"/>
  <c r="H10" i="3"/>
  <c r="L11" i="3"/>
  <c r="I16" i="3"/>
  <c r="F40" i="3"/>
  <c r="F15" i="3"/>
  <c r="D53" i="3"/>
  <c r="F18" i="3"/>
  <c r="F21" i="3"/>
  <c r="E55" i="3"/>
  <c r="G14" i="3"/>
  <c r="E54" i="3"/>
  <c r="C52" i="3"/>
  <c r="D8" i="3"/>
  <c r="I24" i="3"/>
  <c r="G38" i="3"/>
  <c r="K42" i="3"/>
  <c r="H16" i="3"/>
  <c r="K14" i="3"/>
  <c r="K55" i="3"/>
  <c r="H40" i="3"/>
  <c r="E18" i="3"/>
  <c r="J12" i="3"/>
  <c r="I48" i="3"/>
  <c r="L28" i="3"/>
  <c r="L8" i="3"/>
  <c r="L38" i="3"/>
  <c r="J35" i="3"/>
  <c r="G9" i="3"/>
  <c r="E28" i="3"/>
  <c r="J55" i="3"/>
  <c r="F48" i="3"/>
  <c r="G25" i="3"/>
  <c r="E12" i="3"/>
  <c r="F38" i="3"/>
  <c r="H44" i="3"/>
  <c r="F47" i="3"/>
  <c r="H47" i="3"/>
  <c r="G27" i="3"/>
  <c r="G10" i="3"/>
  <c r="D39" i="3"/>
  <c r="G50" i="3"/>
  <c r="H15" i="3"/>
  <c r="I18" i="3"/>
  <c r="I43" i="3"/>
  <c r="C18" i="3"/>
  <c r="J13" i="3"/>
  <c r="D18" i="3"/>
  <c r="I47" i="3"/>
  <c r="D10" i="3"/>
  <c r="G52" i="3"/>
  <c r="D13" i="3"/>
  <c r="L18" i="3"/>
  <c r="K19" i="3"/>
  <c r="K22" i="3"/>
  <c r="H36" i="3"/>
  <c r="E38" i="3"/>
  <c r="L27" i="3"/>
  <c r="I22" i="3"/>
  <c r="J14" i="3"/>
  <c r="L22" i="3"/>
  <c r="E37" i="3"/>
  <c r="K40" i="3"/>
  <c r="K27" i="3"/>
  <c r="F26" i="3"/>
  <c r="E41" i="3"/>
  <c r="L23" i="3"/>
  <c r="F55" i="3"/>
  <c r="C38" i="3"/>
  <c r="L10" i="3"/>
  <c r="G15" i="3"/>
  <c r="E25" i="3"/>
  <c r="F11" i="3"/>
  <c r="J49" i="3"/>
  <c r="C10" i="3"/>
  <c r="H38" i="3"/>
  <c r="K43" i="3"/>
  <c r="F25" i="3"/>
  <c r="C27" i="3"/>
  <c r="C46" i="3"/>
  <c r="C24" i="3"/>
  <c r="H9" i="3"/>
  <c r="J38" i="3"/>
  <c r="I50" i="3"/>
  <c r="E11" i="3"/>
  <c r="G55" i="3"/>
  <c r="K16" i="3"/>
  <c r="E24" i="3"/>
  <c r="K53" i="3"/>
  <c r="G13" i="3"/>
  <c r="H12" i="3"/>
  <c r="E46" i="3"/>
  <c r="I42" i="3"/>
  <c r="E47" i="3"/>
  <c r="C40" i="3"/>
  <c r="C12" i="3"/>
  <c r="F46" i="3"/>
  <c r="J46" i="3"/>
  <c r="D46" i="3"/>
  <c r="F43" i="3"/>
  <c r="G24" i="3"/>
  <c r="G40" i="3"/>
  <c r="G48" i="3"/>
  <c r="J43" i="3"/>
  <c r="G51" i="3"/>
  <c r="D35" i="3"/>
  <c r="I41" i="3"/>
  <c r="E44" i="3"/>
  <c r="H46" i="3"/>
  <c r="E40" i="3"/>
  <c r="G28" i="3"/>
  <c r="J47" i="3"/>
  <c r="F51" i="3"/>
  <c r="H51" i="3"/>
  <c r="E53" i="3"/>
  <c r="C55" i="3"/>
  <c r="C15" i="3"/>
  <c r="H25" i="3"/>
  <c r="I38" i="3"/>
  <c r="M43" i="3"/>
  <c r="G39" i="3"/>
  <c r="K50" i="3"/>
  <c r="M51" i="3"/>
  <c r="L45" i="3"/>
  <c r="H39" i="3"/>
  <c r="D48" i="3"/>
  <c r="M44" i="3"/>
  <c r="K15" i="3"/>
  <c r="H11" i="3"/>
  <c r="K23" i="3"/>
  <c r="H37" i="3"/>
  <c r="I44" i="3"/>
  <c r="M48" i="3"/>
  <c r="K12" i="3"/>
  <c r="M42" i="3"/>
  <c r="G42" i="3"/>
  <c r="L16" i="3"/>
  <c r="F54" i="3"/>
  <c r="L53" i="3"/>
  <c r="M53" i="3"/>
  <c r="G46" i="3"/>
  <c r="H8" i="3"/>
  <c r="E17" i="3"/>
  <c r="I21" i="3"/>
  <c r="H28" i="3"/>
  <c r="K41" i="3"/>
  <c r="D19" i="3"/>
  <c r="J40" i="3"/>
  <c r="F19" i="3"/>
  <c r="L41" i="3"/>
  <c r="I37" i="3"/>
  <c r="L49" i="3"/>
  <c r="H14" i="3"/>
  <c r="K17" i="3"/>
  <c r="K45" i="3"/>
  <c r="J9" i="3"/>
  <c r="G37" i="3"/>
  <c r="J20" i="3"/>
  <c r="E14" i="3"/>
  <c r="H17" i="3"/>
  <c r="F23" i="3"/>
  <c r="L44" i="3"/>
  <c r="D45" i="3"/>
  <c r="J41" i="3"/>
  <c r="C25" i="3"/>
  <c r="G22" i="3"/>
  <c r="C43" i="3"/>
  <c r="I19" i="3"/>
  <c r="D42" i="3"/>
  <c r="G35" i="3"/>
  <c r="L35" i="3"/>
  <c r="L47" i="3"/>
  <c r="J19" i="3"/>
  <c r="I53" i="3"/>
  <c r="K51" i="3"/>
  <c r="D44" i="3"/>
  <c r="H42" i="3"/>
  <c r="L161" i="3"/>
  <c r="I169" i="3"/>
  <c r="L160" i="3"/>
  <c r="X159" i="3"/>
  <c r="G137" i="3"/>
  <c r="G138" i="3"/>
  <c r="D146" i="3"/>
  <c r="D124" i="3"/>
  <c r="G107" i="3"/>
  <c r="G108" i="3"/>
  <c r="G154" i="3"/>
  <c r="D170" i="3"/>
  <c r="G153" i="3"/>
  <c r="X67" i="3"/>
  <c r="K68" i="3"/>
  <c r="K69" i="3"/>
  <c r="I77" i="3"/>
  <c r="I124" i="3"/>
  <c r="L107" i="3"/>
  <c r="L108" i="3"/>
  <c r="G91" i="3"/>
  <c r="G92" i="3"/>
  <c r="D100" i="3"/>
  <c r="G206" i="3"/>
  <c r="D215" i="3"/>
  <c r="G207" i="3"/>
  <c r="G200" i="3"/>
  <c r="G199" i="3"/>
  <c r="D216" i="3"/>
  <c r="L206" i="3"/>
  <c r="X205" i="3"/>
  <c r="I215" i="3"/>
  <c r="L207" i="3"/>
  <c r="L92" i="3"/>
  <c r="L91" i="3"/>
  <c r="I100" i="3"/>
  <c r="X90" i="3"/>
  <c r="L200" i="3"/>
  <c r="L199" i="3"/>
  <c r="I216" i="3"/>
  <c r="L130" i="3"/>
  <c r="I147" i="3"/>
  <c r="L131" i="3"/>
  <c r="L138" i="3"/>
  <c r="L137" i="3"/>
  <c r="X136" i="3"/>
  <c r="I146" i="3"/>
  <c r="G84" i="3"/>
  <c r="D101" i="3"/>
  <c r="G85" i="3"/>
  <c r="I238" i="3"/>
  <c r="L230" i="3"/>
  <c r="L229" i="3"/>
  <c r="X228" i="3"/>
  <c r="X113" i="3"/>
  <c r="L115" i="3"/>
  <c r="L114" i="3"/>
  <c r="I123" i="3"/>
  <c r="G230" i="3"/>
  <c r="D238" i="3"/>
  <c r="G229" i="3"/>
  <c r="G223" i="3"/>
  <c r="D239" i="3"/>
  <c r="G222" i="3"/>
  <c r="I78" i="3"/>
  <c r="K61" i="3"/>
  <c r="K62" i="3"/>
  <c r="I170" i="3"/>
  <c r="L154" i="3"/>
  <c r="L153" i="3"/>
  <c r="F62" i="3"/>
  <c r="D78" i="3"/>
  <c r="F61" i="3"/>
  <c r="G176" i="3"/>
  <c r="D193" i="3"/>
  <c r="G177" i="3"/>
  <c r="L84" i="3"/>
  <c r="I101" i="3"/>
  <c r="L85" i="3"/>
  <c r="L223" i="3"/>
  <c r="L222" i="3"/>
  <c r="I239" i="3"/>
  <c r="G160" i="3"/>
  <c r="D169" i="3"/>
  <c r="G161" i="3"/>
  <c r="G183" i="3"/>
  <c r="D192" i="3"/>
  <c r="G184" i="3"/>
  <c r="I193" i="3"/>
  <c r="L176" i="3"/>
  <c r="L177" i="3"/>
  <c r="D77" i="3"/>
  <c r="F69" i="3"/>
  <c r="F68" i="3"/>
  <c r="G131" i="3"/>
  <c r="G130" i="3"/>
  <c r="D147" i="3"/>
  <c r="L183" i="3"/>
  <c r="I192" i="3"/>
  <c r="X182" i="3"/>
  <c r="L184" i="3"/>
  <c r="G115" i="3"/>
  <c r="G114" i="3"/>
  <c r="D123" i="3"/>
  <c r="G117" i="3" l="1"/>
  <c r="L186" i="3"/>
  <c r="G133" i="3"/>
  <c r="F71" i="3"/>
  <c r="L179" i="3"/>
  <c r="G186" i="3"/>
  <c r="G163" i="3"/>
  <c r="L225" i="3"/>
  <c r="L87" i="3"/>
  <c r="G179" i="3"/>
  <c r="F64" i="3"/>
  <c r="L156" i="3"/>
  <c r="K64" i="3"/>
  <c r="G225" i="3"/>
  <c r="G232" i="3"/>
  <c r="L117" i="3"/>
  <c r="L232" i="3"/>
  <c r="G87" i="3"/>
  <c r="L140" i="3"/>
  <c r="L133" i="3"/>
  <c r="L202" i="3"/>
  <c r="L94" i="3"/>
  <c r="L209" i="3"/>
  <c r="G202" i="3"/>
  <c r="G209" i="3"/>
  <c r="G94" i="3"/>
  <c r="L110" i="3"/>
  <c r="K71" i="3"/>
  <c r="G156" i="3"/>
  <c r="G110" i="3"/>
  <c r="G140" i="3"/>
  <c r="L163" i="3"/>
  <c r="D134" i="3"/>
  <c r="O131" i="3"/>
  <c r="X132" i="3"/>
  <c r="D143" i="3"/>
  <c r="X130" i="3"/>
  <c r="D142" i="3"/>
  <c r="D136" i="3"/>
  <c r="D141" i="3"/>
  <c r="D145" i="3"/>
  <c r="D135" i="3"/>
  <c r="D144" i="3"/>
  <c r="X133" i="3"/>
  <c r="D137" i="3"/>
  <c r="P131" i="3"/>
  <c r="D130" i="3"/>
  <c r="P133" i="3" a="1"/>
  <c r="P133" i="3" s="1"/>
  <c r="D131" i="3"/>
  <c r="D133" i="3"/>
  <c r="N131" i="3"/>
  <c r="D140" i="3"/>
  <c r="D132" i="3"/>
  <c r="D139" i="3"/>
  <c r="I187" i="3"/>
  <c r="I186" i="3"/>
  <c r="I177" i="3"/>
  <c r="I180" i="3"/>
  <c r="N178" i="3"/>
  <c r="N179" i="3" s="1"/>
  <c r="S179" i="3" s="1"/>
  <c r="I190" i="3"/>
  <c r="Y176" i="3"/>
  <c r="I176" i="3"/>
  <c r="I179" i="3"/>
  <c r="I182" i="3"/>
  <c r="O178" i="3"/>
  <c r="I181" i="3"/>
  <c r="I188" i="3"/>
  <c r="I191" i="3"/>
  <c r="I183" i="3"/>
  <c r="I189" i="3"/>
  <c r="P178" i="3"/>
  <c r="I178" i="3"/>
  <c r="I185" i="3"/>
  <c r="I236" i="3"/>
  <c r="I228" i="3"/>
  <c r="I225" i="3"/>
  <c r="I223" i="3"/>
  <c r="I237" i="3"/>
  <c r="Y222" i="3"/>
  <c r="I224" i="3"/>
  <c r="P224" i="3"/>
  <c r="I233" i="3"/>
  <c r="N224" i="3"/>
  <c r="N225" i="3" s="1"/>
  <c r="S225" i="3" s="1"/>
  <c r="I229" i="3"/>
  <c r="I234" i="3"/>
  <c r="O224" i="3"/>
  <c r="I231" i="3"/>
  <c r="I227" i="3"/>
  <c r="I232" i="3"/>
  <c r="I222" i="3"/>
  <c r="I235" i="3"/>
  <c r="I226" i="3"/>
  <c r="I86" i="3"/>
  <c r="I96" i="3"/>
  <c r="I89" i="3"/>
  <c r="Y84" i="3"/>
  <c r="I84" i="3"/>
  <c r="I97" i="3"/>
  <c r="I95" i="3"/>
  <c r="I88" i="3"/>
  <c r="P86" i="3"/>
  <c r="I98" i="3"/>
  <c r="O86" i="3"/>
  <c r="I90" i="3"/>
  <c r="N86" i="3"/>
  <c r="N87" i="3" s="1"/>
  <c r="S87" i="3" s="1"/>
  <c r="I93" i="3"/>
  <c r="I91" i="3"/>
  <c r="I94" i="3"/>
  <c r="I99" i="3"/>
  <c r="I87" i="3"/>
  <c r="I85" i="3"/>
  <c r="O177" i="3"/>
  <c r="X179" i="3"/>
  <c r="D179" i="3"/>
  <c r="D181" i="3"/>
  <c r="D180" i="3"/>
  <c r="D177" i="3"/>
  <c r="D189" i="3"/>
  <c r="X176" i="3"/>
  <c r="D190" i="3"/>
  <c r="D191" i="3"/>
  <c r="D176" i="3"/>
  <c r="D186" i="3"/>
  <c r="N177" i="3"/>
  <c r="D178" i="3"/>
  <c r="P177" i="3"/>
  <c r="D182" i="3"/>
  <c r="P179" i="3" a="1"/>
  <c r="P179" i="3" s="1"/>
  <c r="Q179" i="3" s="1"/>
  <c r="D183" i="3"/>
  <c r="D185" i="3"/>
  <c r="D184" i="3" s="1"/>
  <c r="X178" i="3"/>
  <c r="D188" i="3"/>
  <c r="D187" i="3"/>
  <c r="D66" i="3"/>
  <c r="N62" i="3"/>
  <c r="D71" i="3"/>
  <c r="P64" i="3" a="1"/>
  <c r="P64" i="3" s="1"/>
  <c r="X61" i="3"/>
  <c r="D76" i="3"/>
  <c r="X64" i="3"/>
  <c r="X63" i="3"/>
  <c r="D67" i="3"/>
  <c r="D75" i="3"/>
  <c r="D62" i="3"/>
  <c r="D73" i="3"/>
  <c r="D74" i="3"/>
  <c r="D61" i="3"/>
  <c r="D65" i="3"/>
  <c r="D63" i="3"/>
  <c r="D72" i="3"/>
  <c r="D68" i="3"/>
  <c r="P62" i="3"/>
  <c r="D64" i="3"/>
  <c r="O62" i="3"/>
  <c r="D70" i="3"/>
  <c r="I158" i="3"/>
  <c r="I163" i="3"/>
  <c r="I165" i="3"/>
  <c r="I159" i="3"/>
  <c r="I166" i="3"/>
  <c r="I160" i="3"/>
  <c r="P155" i="3"/>
  <c r="N155" i="3"/>
  <c r="N156" i="3" s="1"/>
  <c r="S156" i="3" s="1"/>
  <c r="O155" i="3"/>
  <c r="I155" i="3"/>
  <c r="I153" i="3"/>
  <c r="I156" i="3"/>
  <c r="I154" i="3"/>
  <c r="I162" i="3"/>
  <c r="I168" i="3"/>
  <c r="Y153" i="3"/>
  <c r="I157" i="3"/>
  <c r="I167" i="3"/>
  <c r="I164" i="3"/>
  <c r="N63" i="3"/>
  <c r="N64" i="3" s="1"/>
  <c r="S64" i="3" s="1"/>
  <c r="I71" i="3"/>
  <c r="P63" i="3"/>
  <c r="I67" i="3"/>
  <c r="I74" i="3"/>
  <c r="I66" i="3"/>
  <c r="I75" i="3"/>
  <c r="I76" i="3"/>
  <c r="I65" i="3"/>
  <c r="I72" i="3"/>
  <c r="I70" i="3"/>
  <c r="Y61" i="3"/>
  <c r="I73" i="3"/>
  <c r="I62" i="3"/>
  <c r="I64" i="3"/>
  <c r="I68" i="3"/>
  <c r="I61" i="3"/>
  <c r="I63" i="3"/>
  <c r="O63" i="3"/>
  <c r="D229" i="3"/>
  <c r="D225" i="3"/>
  <c r="N223" i="3"/>
  <c r="D227" i="3"/>
  <c r="X222" i="3"/>
  <c r="D232" i="3"/>
  <c r="D234" i="3"/>
  <c r="P225" i="3" a="1"/>
  <c r="P225" i="3" s="1"/>
  <c r="X225" i="3"/>
  <c r="D235" i="3"/>
  <c r="D228" i="3"/>
  <c r="D233" i="3"/>
  <c r="D222" i="3"/>
  <c r="X224" i="3"/>
  <c r="D237" i="3"/>
  <c r="D223" i="3"/>
  <c r="O223" i="3"/>
  <c r="D226" i="3"/>
  <c r="P223" i="3"/>
  <c r="D236" i="3"/>
  <c r="D224" i="3"/>
  <c r="D231" i="3"/>
  <c r="D230" i="3" s="1"/>
  <c r="D96" i="3"/>
  <c r="D93" i="3"/>
  <c r="D85" i="3"/>
  <c r="D98" i="3"/>
  <c r="D87" i="3"/>
  <c r="D99" i="3"/>
  <c r="P87" i="3" a="1"/>
  <c r="P87" i="3" s="1"/>
  <c r="X87" i="3"/>
  <c r="D86" i="3"/>
  <c r="N85" i="3"/>
  <c r="D90" i="3"/>
  <c r="D94" i="3"/>
  <c r="D88" i="3"/>
  <c r="O85" i="3"/>
  <c r="D84" i="3"/>
  <c r="P85" i="3"/>
  <c r="D95" i="3"/>
  <c r="D89" i="3"/>
  <c r="D97" i="3"/>
  <c r="D91" i="3"/>
  <c r="X84" i="3"/>
  <c r="X86" i="3"/>
  <c r="I133" i="3"/>
  <c r="I136" i="3"/>
  <c r="P132" i="3"/>
  <c r="I132" i="3"/>
  <c r="I130" i="3"/>
  <c r="I142" i="3"/>
  <c r="I131" i="3"/>
  <c r="I140" i="3"/>
  <c r="I135" i="3"/>
  <c r="N132" i="3"/>
  <c r="N133" i="3" s="1"/>
  <c r="S133" i="3" s="1"/>
  <c r="I141" i="3"/>
  <c r="Y130" i="3"/>
  <c r="I145" i="3"/>
  <c r="I143" i="3"/>
  <c r="I139" i="3"/>
  <c r="O132" i="3"/>
  <c r="I134" i="3"/>
  <c r="I137" i="3"/>
  <c r="I144" i="3"/>
  <c r="I199" i="3"/>
  <c r="Y199" i="3"/>
  <c r="I201" i="3"/>
  <c r="I200" i="3"/>
  <c r="I212" i="3"/>
  <c r="I205" i="3"/>
  <c r="I210" i="3"/>
  <c r="N201" i="3"/>
  <c r="N202" i="3" s="1"/>
  <c r="S202" i="3" s="1"/>
  <c r="I206" i="3"/>
  <c r="I204" i="3"/>
  <c r="I202" i="3"/>
  <c r="I203" i="3"/>
  <c r="O201" i="3"/>
  <c r="I213" i="3"/>
  <c r="I211" i="3"/>
  <c r="I214" i="3"/>
  <c r="I209" i="3"/>
  <c r="I208" i="3"/>
  <c r="P201" i="3"/>
  <c r="D211" i="3"/>
  <c r="D212" i="3"/>
  <c r="D208" i="3"/>
  <c r="D199" i="3"/>
  <c r="D206" i="3"/>
  <c r="D201" i="3"/>
  <c r="D200" i="3"/>
  <c r="X202" i="3"/>
  <c r="D203" i="3"/>
  <c r="P202" i="3" a="1"/>
  <c r="P202" i="3" s="1"/>
  <c r="Q202" i="3" s="1"/>
  <c r="R202" i="3" s="1"/>
  <c r="D204" i="3"/>
  <c r="D202" i="3"/>
  <c r="P200" i="3"/>
  <c r="X199" i="3"/>
  <c r="X201" i="3"/>
  <c r="D209" i="3"/>
  <c r="D214" i="3"/>
  <c r="N200" i="3"/>
  <c r="D210" i="3"/>
  <c r="O200" i="3"/>
  <c r="D205" i="3"/>
  <c r="D213" i="3"/>
  <c r="I108" i="3"/>
  <c r="I112" i="3"/>
  <c r="I109" i="3"/>
  <c r="I117" i="3"/>
  <c r="I110" i="3"/>
  <c r="I120" i="3"/>
  <c r="I107" i="3"/>
  <c r="I111" i="3"/>
  <c r="I113" i="3"/>
  <c r="P109" i="3"/>
  <c r="O109" i="3"/>
  <c r="I122" i="3"/>
  <c r="I114" i="3"/>
  <c r="Y107" i="3"/>
  <c r="N109" i="3"/>
  <c r="N110" i="3" s="1"/>
  <c r="S110" i="3" s="1"/>
  <c r="I118" i="3"/>
  <c r="I116" i="3"/>
  <c r="I119" i="3"/>
  <c r="I121" i="3"/>
  <c r="D164" i="3"/>
  <c r="D159" i="3"/>
  <c r="D168" i="3"/>
  <c r="X156" i="3"/>
  <c r="D165" i="3"/>
  <c r="D158" i="3"/>
  <c r="X153" i="3"/>
  <c r="D166" i="3"/>
  <c r="D153" i="3"/>
  <c r="D160" i="3"/>
  <c r="D163" i="3"/>
  <c r="D154" i="3"/>
  <c r="D167" i="3"/>
  <c r="X155" i="3"/>
  <c r="O154" i="3"/>
  <c r="D155" i="3"/>
  <c r="D162" i="3"/>
  <c r="D157" i="3"/>
  <c r="D156" i="3"/>
  <c r="P154" i="3"/>
  <c r="N154" i="3"/>
  <c r="P156" i="3" a="1"/>
  <c r="P156" i="3" s="1"/>
  <c r="Q156" i="3" s="1"/>
  <c r="R156" i="3" s="1"/>
  <c r="D114" i="3"/>
  <c r="N108" i="3"/>
  <c r="O108" i="3"/>
  <c r="D119" i="3"/>
  <c r="X107" i="3"/>
  <c r="P110" i="3" a="1"/>
  <c r="P110" i="3" s="1"/>
  <c r="Q110" i="3" s="1"/>
  <c r="D109" i="3"/>
  <c r="D117" i="3"/>
  <c r="D110" i="3"/>
  <c r="D112" i="3"/>
  <c r="X109" i="3"/>
  <c r="D108" i="3"/>
  <c r="D120" i="3"/>
  <c r="D121" i="3"/>
  <c r="D111" i="3"/>
  <c r="D113" i="3"/>
  <c r="P108" i="3"/>
  <c r="D122" i="3"/>
  <c r="X110" i="3"/>
  <c r="D107" i="3"/>
  <c r="D116" i="3"/>
  <c r="D118" i="3"/>
  <c r="X190" i="3"/>
  <c r="X121" i="3"/>
  <c r="X236" i="3"/>
  <c r="X213" i="3"/>
  <c r="X144" i="3"/>
  <c r="X75" i="3"/>
  <c r="X98" i="3"/>
  <c r="X167" i="3"/>
  <c r="D161" i="3" l="1"/>
  <c r="I138" i="3"/>
  <c r="R110" i="3"/>
  <c r="Q87" i="3"/>
  <c r="R87" i="3" s="1"/>
  <c r="D69" i="3"/>
  <c r="I230" i="3"/>
  <c r="D207" i="3"/>
  <c r="D138" i="3"/>
  <c r="Y167" i="3"/>
  <c r="Y98" i="3"/>
  <c r="Y75" i="3"/>
  <c r="Y144" i="3"/>
  <c r="Y213" i="3"/>
  <c r="Y236" i="3"/>
  <c r="Y121" i="3"/>
  <c r="Y190" i="3"/>
  <c r="X162" i="3"/>
  <c r="T179" i="3"/>
  <c r="R179" i="3"/>
  <c r="O179" i="3"/>
  <c r="Q133" i="3"/>
  <c r="R133" i="3" s="1"/>
  <c r="X93" i="3"/>
  <c r="O68" i="3"/>
  <c r="O69" i="3"/>
  <c r="U202" i="3"/>
  <c r="N207" i="3"/>
  <c r="R207" i="3" s="1"/>
  <c r="N206" i="3"/>
  <c r="R206" i="3" s="1"/>
  <c r="X70" i="3"/>
  <c r="X139" i="3"/>
  <c r="X208" i="3"/>
  <c r="O183" i="3"/>
  <c r="O184" i="3"/>
  <c r="P184" i="3" s="1"/>
  <c r="X231" i="3"/>
  <c r="O64" i="3"/>
  <c r="T64" i="3"/>
  <c r="I92" i="3"/>
  <c r="D92" i="3"/>
  <c r="Q225" i="3"/>
  <c r="R225" i="3" s="1"/>
  <c r="I69" i="3"/>
  <c r="I161" i="3"/>
  <c r="Q64" i="3"/>
  <c r="R64" i="3" s="1"/>
  <c r="O92" i="3"/>
  <c r="O91" i="3"/>
  <c r="I184" i="3"/>
  <c r="I115" i="3"/>
  <c r="O115" i="3"/>
  <c r="Q115" i="3" s="1"/>
  <c r="O114" i="3"/>
  <c r="O207" i="3"/>
  <c r="P207" i="3" s="1"/>
  <c r="O206" i="3"/>
  <c r="O156" i="3"/>
  <c r="T156" i="3"/>
  <c r="N115" i="3"/>
  <c r="R115" i="3" s="1"/>
  <c r="N114" i="3"/>
  <c r="R114" i="3" s="1"/>
  <c r="U110" i="3"/>
  <c r="D115" i="3"/>
  <c r="O202" i="3"/>
  <c r="T202" i="3"/>
  <c r="O138" i="3"/>
  <c r="P138" i="3" s="1"/>
  <c r="O137" i="3"/>
  <c r="X116" i="3"/>
  <c r="O110" i="3"/>
  <c r="T110" i="3"/>
  <c r="O87" i="3"/>
  <c r="T87" i="3"/>
  <c r="O161" i="3"/>
  <c r="Q161" i="3" s="1"/>
  <c r="O160" i="3"/>
  <c r="O230" i="3"/>
  <c r="Q230" i="3" s="1"/>
  <c r="O229" i="3"/>
  <c r="I207" i="3"/>
  <c r="T225" i="3"/>
  <c r="O225" i="3"/>
  <c r="T133" i="3"/>
  <c r="O133" i="3"/>
  <c r="N160" i="3"/>
  <c r="R160" i="3" s="1"/>
  <c r="U156" i="3"/>
  <c r="N161" i="3"/>
  <c r="R161" i="3" s="1"/>
  <c r="X185" i="3"/>
  <c r="P92" i="3" l="1"/>
  <c r="Q92" i="3"/>
  <c r="X111" i="3"/>
  <c r="X112" i="3" s="1"/>
  <c r="Q207" i="3"/>
  <c r="N230" i="3"/>
  <c r="R230" i="3" s="1"/>
  <c r="N229" i="3"/>
  <c r="R229" i="3" s="1"/>
  <c r="U225" i="3"/>
  <c r="Q138" i="3"/>
  <c r="P161" i="3"/>
  <c r="X88" i="3"/>
  <c r="X89" i="3" s="1"/>
  <c r="N92" i="3"/>
  <c r="R92" i="3" s="1"/>
  <c r="N91" i="3"/>
  <c r="R91" i="3" s="1"/>
  <c r="U87" i="3"/>
  <c r="P69" i="3"/>
  <c r="N138" i="3"/>
  <c r="R138" i="3" s="1"/>
  <c r="U133" i="3"/>
  <c r="N137" i="3"/>
  <c r="R137" i="3" s="1"/>
  <c r="P115" i="3"/>
  <c r="Q69" i="3"/>
  <c r="Q184" i="3"/>
  <c r="U179" i="3"/>
  <c r="N183" i="3"/>
  <c r="R183" i="3" s="1"/>
  <c r="N184" i="3"/>
  <c r="R184" i="3" s="1"/>
  <c r="X226" i="3"/>
  <c r="X227" i="3" s="1"/>
  <c r="X157" i="3"/>
  <c r="X158" i="3" s="1"/>
  <c r="X203" i="3"/>
  <c r="X204" i="3" s="1"/>
  <c r="X65" i="3"/>
  <c r="X66" i="3" s="1"/>
  <c r="N69" i="3"/>
  <c r="R69" i="3" s="1"/>
  <c r="U64" i="3"/>
  <c r="N68" i="3"/>
  <c r="R68" i="3" s="1"/>
  <c r="X134" i="3"/>
  <c r="X135" i="3" s="1"/>
  <c r="X180" i="3"/>
  <c r="X181" i="3" s="1"/>
  <c r="P230" i="3"/>
  <c r="X117" i="3"/>
  <c r="X232" i="3"/>
  <c r="X186" i="3"/>
  <c r="X71" i="3"/>
  <c r="X140" i="3"/>
  <c r="X209" i="3"/>
  <c r="X94" i="3"/>
  <c r="X163" i="3"/>
  <c r="X164" i="3" l="1"/>
  <c r="X95" i="3"/>
  <c r="X210" i="3"/>
  <c r="X141" i="3"/>
  <c r="X72" i="3"/>
  <c r="X187" i="3"/>
  <c r="X233" i="3"/>
  <c r="X118" i="3"/>
  <c r="X96" i="3" l="1"/>
  <c r="X97" i="3"/>
  <c r="Y97" i="3" s="1"/>
  <c r="X142" i="3"/>
  <c r="X143" i="3"/>
  <c r="Y143" i="3" s="1"/>
  <c r="X211" i="3"/>
  <c r="X212" i="3"/>
  <c r="Y212" i="3" s="1"/>
  <c r="X119" i="3"/>
  <c r="X120" i="3"/>
  <c r="Y120" i="3" s="1"/>
  <c r="X235" i="3"/>
  <c r="Y235" i="3" s="1"/>
  <c r="X234" i="3"/>
  <c r="X188" i="3"/>
  <c r="X189" i="3"/>
  <c r="Y189" i="3" s="1"/>
  <c r="X74" i="3"/>
  <c r="Y74" i="3" s="1"/>
  <c r="X73" i="3"/>
  <c r="X165" i="3"/>
  <c r="X166" i="3"/>
  <c r="Y16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<sst xmlns="http://schemas.openxmlformats.org/spreadsheetml/2006/main" count="2689" uniqueCount="443">
  <si>
    <t>Utente 21</t>
  </si>
  <si>
    <t>Utente 20</t>
  </si>
  <si>
    <t>Utente 19</t>
  </si>
  <si>
    <t>Utente 18</t>
  </si>
  <si>
    <t>Utente 17</t>
  </si>
  <si>
    <t>Utente 16</t>
  </si>
  <si>
    <t>Utente 15</t>
  </si>
  <si>
    <t>Utente 14</t>
  </si>
  <si>
    <t>Utente 13</t>
  </si>
  <si>
    <t>Utente 12</t>
  </si>
  <si>
    <t>Utente 11</t>
  </si>
  <si>
    <t>Utente 10</t>
  </si>
  <si>
    <t>Utente 9</t>
  </si>
  <si>
    <t>Utente 8</t>
  </si>
  <si>
    <t>Utente 7</t>
  </si>
  <si>
    <t>Utente 6</t>
  </si>
  <si>
    <t>Utente 5</t>
  </si>
  <si>
    <t>Utente 4</t>
  </si>
  <si>
    <t>Utente 3</t>
  </si>
  <si>
    <t>Utente 2</t>
  </si>
  <si>
    <t>Utente 1</t>
  </si>
  <si>
    <t>FOMO-C (Cue Efficacy &amp; Comfort – Termico)</t>
  </si>
  <si>
    <t>FOMO-B (Comportamentale)</t>
  </si>
  <si>
    <t>FOMO-A (Attentiva)</t>
  </si>
  <si>
    <t>Video Name</t>
  </si>
  <si>
    <t>With_device</t>
  </si>
  <si>
    <t>PUNTEGGI TRACCIAMENTO</t>
  </si>
  <si>
    <t>session_id</t>
  </si>
  <si>
    <t>date_time</t>
  </si>
  <si>
    <t>condition</t>
  </si>
  <si>
    <t>user_id</t>
  </si>
  <si>
    <t>video_name</t>
  </si>
  <si>
    <t>video_duration_s</t>
  </si>
  <si>
    <t>end_reason</t>
  </si>
  <si>
    <t>FOMO_A_miss_pct</t>
  </si>
  <si>
    <t>FOMO_A_total_miss_s</t>
  </si>
  <si>
    <t>FOMO_A_miss_count</t>
  </si>
  <si>
    <t>FOMO_A_latency_mean_s</t>
  </si>
  <si>
    <t>FOMO_A_latency_median_s</t>
  </si>
  <si>
    <t>FOMO_A_latency_p95_s</t>
  </si>
  <si>
    <t>FOMO_A_latency_max_s</t>
  </si>
  <si>
    <t>FOMO_A_latency_left_mean_s</t>
  </si>
  <si>
    <t>FOMO_A_latency_right_mean_s</t>
  </si>
  <si>
    <t>FOMO_A_latency_behind_mean_s</t>
  </si>
  <si>
    <t>FOMO_A_asym_index</t>
  </si>
  <si>
    <t>FOMO_C_cue_count</t>
  </si>
  <si>
    <t>FOMO_C_cue_success_within_thresh_pct</t>
  </si>
  <si>
    <t>FOMO_B_avg_ang_speed_deg_s</t>
  </si>
  <si>
    <t>FOMO_B_max_ang_speed_deg_s</t>
  </si>
  <si>
    <t>FOMO_B_burst_count</t>
  </si>
  <si>
    <t>FOMO_B_burst_time_s</t>
  </si>
  <si>
    <t>FOMO_B_switch_rate_per_min</t>
  </si>
  <si>
    <t>FOMO_B_switch_rate_notFront_per_min</t>
  </si>
  <si>
    <t>FOMO_B_zigzag_count</t>
  </si>
  <si>
    <t>C_max_pad1_C</t>
  </si>
  <si>
    <t>C_max_pad2_C</t>
  </si>
  <si>
    <t>C_max_pad3_C</t>
  </si>
  <si>
    <t>C_max_pad4_C</t>
  </si>
  <si>
    <t>C_time_aboveComfort_pad1_s</t>
  </si>
  <si>
    <t>C_time_aboveComfort_pad2_s</t>
  </si>
  <si>
    <t>C_time_aboveComfort_pad3_s</t>
  </si>
  <si>
    <t>C_time_aboveComfort_pad4_s</t>
  </si>
  <si>
    <t>C_estop_count</t>
  </si>
  <si>
    <t>params_frontDwell_s</t>
  </si>
  <si>
    <t>params_burstSpeed_deg_s</t>
  </si>
  <si>
    <t>params_minBurstDur_s</t>
  </si>
  <si>
    <t>params_zigzagWindow_s</t>
  </si>
  <si>
    <t>params_comfort_C</t>
  </si>
  <si>
    <t>params_cueSuccessThresh_s</t>
  </si>
  <si>
    <t>score_PRS</t>
  </si>
  <si>
    <t>score_CES</t>
  </si>
  <si>
    <t>score_SS</t>
  </si>
  <si>
    <t>score_GOS</t>
  </si>
  <si>
    <t>WITH_DEVICE</t>
  </si>
  <si>
    <t>1_w</t>
  </si>
  <si>
    <t>Elephants</t>
  </si>
  <si>
    <t>240.24</t>
  </si>
  <si>
    <t>ENDED</t>
  </si>
  <si>
    <t>0.421514</t>
  </si>
  <si>
    <t>0.651</t>
  </si>
  <si>
    <t>2449.9</t>
  </si>
  <si>
    <t>32.4</t>
  </si>
  <si>
    <t>37.9</t>
  </si>
  <si>
    <t>0.35</t>
  </si>
  <si>
    <t>0.1</t>
  </si>
  <si>
    <t>1.5</t>
  </si>
  <si>
    <t>19_w</t>
  </si>
  <si>
    <t>0.440018</t>
  </si>
  <si>
    <t>3.59</t>
  </si>
  <si>
    <t>0.05</t>
  </si>
  <si>
    <t>35.8</t>
  </si>
  <si>
    <t>37.5</t>
  </si>
  <si>
    <t>20_w</t>
  </si>
  <si>
    <t>0.435899</t>
  </si>
  <si>
    <t>0.092</t>
  </si>
  <si>
    <t>18.91</t>
  </si>
  <si>
    <t>0.794</t>
  </si>
  <si>
    <t>12.89</t>
  </si>
  <si>
    <t>56.41</t>
  </si>
  <si>
    <t>21_w</t>
  </si>
  <si>
    <t>0.440511</t>
  </si>
  <si>
    <t>0.18</t>
  </si>
  <si>
    <t>22.82</t>
  </si>
  <si>
    <t>0.877</t>
  </si>
  <si>
    <t>12.05</t>
  </si>
  <si>
    <t>0.808</t>
  </si>
  <si>
    <t>5_w</t>
  </si>
  <si>
    <t>0.258315</t>
  </si>
  <si>
    <t>0.894</t>
  </si>
  <si>
    <t>0.793</t>
  </si>
  <si>
    <t>13.98</t>
  </si>
  <si>
    <t>61.13</t>
  </si>
  <si>
    <t>6_w</t>
  </si>
  <si>
    <t>0.548434</t>
  </si>
  <si>
    <t>13.8</t>
  </si>
  <si>
    <t>9.15</t>
  </si>
  <si>
    <t>0.473</t>
  </si>
  <si>
    <t>1.36</t>
  </si>
  <si>
    <t>0.792</t>
  </si>
  <si>
    <t>7_w</t>
  </si>
  <si>
    <t>0.517782</t>
  </si>
  <si>
    <t>0.14</t>
  </si>
  <si>
    <t>46.15</t>
  </si>
  <si>
    <t>34.2</t>
  </si>
  <si>
    <t>35.2</t>
  </si>
  <si>
    <t>8_w</t>
  </si>
  <si>
    <t>0.645957</t>
  </si>
  <si>
    <t>16.23</t>
  </si>
  <si>
    <t>0.573</t>
  </si>
  <si>
    <t>1073.82</t>
  </si>
  <si>
    <t>9_w</t>
  </si>
  <si>
    <t>0.383361</t>
  </si>
  <si>
    <t>0.096</t>
  </si>
  <si>
    <t>0.529</t>
  </si>
  <si>
    <t>0.806</t>
  </si>
  <si>
    <t>9.67</t>
  </si>
  <si>
    <t>10_w</t>
  </si>
  <si>
    <t>0.413347</t>
  </si>
  <si>
    <t>1.97</t>
  </si>
  <si>
    <t>68.75</t>
  </si>
  <si>
    <t>33.3</t>
  </si>
  <si>
    <t>11_w</t>
  </si>
  <si>
    <t>0.513423</t>
  </si>
  <si>
    <t>123.33</t>
  </si>
  <si>
    <t>0.297</t>
  </si>
  <si>
    <t>43.08</t>
  </si>
  <si>
    <t>37.2</t>
  </si>
  <si>
    <t>37.7</t>
  </si>
  <si>
    <t>12_w</t>
  </si>
  <si>
    <t>0.44498</t>
  </si>
  <si>
    <t>0.63</t>
  </si>
  <si>
    <t>1003.79</t>
  </si>
  <si>
    <t>35.6</t>
  </si>
  <si>
    <t>35.7</t>
  </si>
  <si>
    <t>13_w</t>
  </si>
  <si>
    <t>0.41647</t>
  </si>
  <si>
    <t>0.194</t>
  </si>
  <si>
    <t>1.31</t>
  </si>
  <si>
    <t>36.1</t>
  </si>
  <si>
    <t>14_w</t>
  </si>
  <si>
    <t>0.499541</t>
  </si>
  <si>
    <t>2.86</t>
  </si>
  <si>
    <t>0.676</t>
  </si>
  <si>
    <t>36.8</t>
  </si>
  <si>
    <t>15_w</t>
  </si>
  <si>
    <t>0.522185</t>
  </si>
  <si>
    <t>11.78</t>
  </si>
  <si>
    <t>4.3</t>
  </si>
  <si>
    <t>0.004</t>
  </si>
  <si>
    <t>616.38</t>
  </si>
  <si>
    <t>4.72</t>
  </si>
  <si>
    <t>36.9</t>
  </si>
  <si>
    <t>16_w</t>
  </si>
  <si>
    <t>0.537126</t>
  </si>
  <si>
    <t>21.15</t>
  </si>
  <si>
    <t>0.095</t>
  </si>
  <si>
    <t>18.42</t>
  </si>
  <si>
    <t>34.9</t>
  </si>
  <si>
    <t>36.4</t>
  </si>
  <si>
    <t>17_w</t>
  </si>
  <si>
    <t>0.344986</t>
  </si>
  <si>
    <t>0.12</t>
  </si>
  <si>
    <t>49.24</t>
  </si>
  <si>
    <t>18_w</t>
  </si>
  <si>
    <t>0.480456</t>
  </si>
  <si>
    <t>115.41</t>
  </si>
  <si>
    <t>0.509</t>
  </si>
  <si>
    <t>103.41</t>
  </si>
  <si>
    <t>4_w</t>
  </si>
  <si>
    <t>0.46043</t>
  </si>
  <si>
    <t>2.59</t>
  </si>
  <si>
    <t>0.386</t>
  </si>
  <si>
    <t>34.1</t>
  </si>
  <si>
    <t>34.8</t>
  </si>
  <si>
    <t>36.2</t>
  </si>
  <si>
    <t>WITHOUT_DEVICE</t>
  </si>
  <si>
    <t>3_wn</t>
  </si>
  <si>
    <t>Lions</t>
  </si>
  <si>
    <t>QUIT</t>
  </si>
  <si>
    <t>0.537936</t>
  </si>
  <si>
    <t>15.75</t>
  </si>
  <si>
    <t>0.948</t>
  </si>
  <si>
    <t>2_w</t>
  </si>
  <si>
    <t>0.461666</t>
  </si>
  <si>
    <t>0.256</t>
  </si>
  <si>
    <t>39.13</t>
  </si>
  <si>
    <t>0.125</t>
  </si>
  <si>
    <t>0.805</t>
  </si>
  <si>
    <t>time_to_poi_mean (s)</t>
  </si>
  <si>
    <t>3_w</t>
  </si>
  <si>
    <t>0.436649</t>
  </si>
  <si>
    <t>4.67</t>
  </si>
  <si>
    <t>0.726</t>
  </si>
  <si>
    <t>1933.84</t>
  </si>
  <si>
    <t>100.68</t>
  </si>
  <si>
    <t>35.1</t>
  </si>
  <si>
    <t>38.5</t>
  </si>
  <si>
    <t>Video  Duration (s)</t>
  </si>
  <si>
    <t>burst_count</t>
  </si>
  <si>
    <t>cue_count</t>
  </si>
  <si>
    <t>cue_success_within_thresh_pct</t>
  </si>
  <si>
    <t>Descrizione dei parametri rilevati</t>
  </si>
  <si>
    <t>Parametro</t>
  </si>
  <si>
    <t>Significato</t>
  </si>
  <si>
    <t>Unità</t>
  </si>
  <si>
    <t>Come viene ottenuto</t>
  </si>
  <si>
    <r>
      <t xml:space="preserve">Percentuale di tempo in cui l’utente </t>
    </r>
    <r>
      <rPr>
        <b/>
        <sz val="11"/>
        <color theme="1"/>
        <rFont val="Aptos Narrow"/>
        <family val="2"/>
        <scheme val="minor"/>
      </rPr>
      <t>non guarda</t>
    </r>
    <r>
      <rPr>
        <sz val="11"/>
        <color theme="1"/>
        <rFont val="Aptos Narrow"/>
        <family val="2"/>
        <scheme val="minor"/>
      </rPr>
      <t xml:space="preserve"> i POI attivi (Points of Interest).</t>
    </r>
  </si>
  <si>
    <t>% (0–1)</t>
  </si>
  <si>
    <t>Dal tracciamento testa: tempo fuori campo / durata totale dei POI.</t>
  </si>
  <si>
    <r>
      <t xml:space="preserve">Durata totale in secondi in cui i POI sono rimasti </t>
    </r>
    <r>
      <rPr>
        <b/>
        <sz val="11"/>
        <color theme="1"/>
        <rFont val="Aptos Narrow"/>
        <family val="2"/>
        <scheme val="minor"/>
      </rPr>
      <t>non visti</t>
    </r>
    <r>
      <rPr>
        <sz val="11"/>
        <color theme="1"/>
        <rFont val="Aptos Narrow"/>
        <family val="2"/>
        <scheme val="minor"/>
      </rPr>
      <t>.</t>
    </r>
  </si>
  <si>
    <t>s</t>
  </si>
  <si>
    <t>Somma dei periodi “fuori FOV” per tutti i POI.</t>
  </si>
  <si>
    <r>
      <t xml:space="preserve">Numero di eventi (POI) </t>
    </r>
    <r>
      <rPr>
        <b/>
        <sz val="11"/>
        <color theme="1"/>
        <rFont val="Aptos Narrow"/>
        <family val="2"/>
        <scheme val="minor"/>
      </rPr>
      <t>non guardati</t>
    </r>
    <r>
      <rPr>
        <sz val="11"/>
        <color theme="1"/>
        <rFont val="Aptos Narrow"/>
        <family val="2"/>
        <scheme val="minor"/>
      </rPr>
      <t xml:space="preserve"> del tutto.</t>
    </r>
  </si>
  <si>
    <t>conteggio</t>
  </si>
  <si>
    <t>Conta quanti POI non sono mai entrati nel FOV.</t>
  </si>
  <si>
    <t>FOMO_A_latency_mean_s / median_s / p95_s / max_s</t>
  </si>
  <si>
    <r>
      <t xml:space="preserve">Tempo medio, mediano, al 95° percentile e massimo impiegato per </t>
    </r>
    <r>
      <rPr>
        <b/>
        <sz val="11"/>
        <color theme="1"/>
        <rFont val="Aptos Narrow"/>
        <family val="2"/>
        <scheme val="minor"/>
      </rPr>
      <t>spostare lo sguardo</t>
    </r>
    <r>
      <rPr>
        <sz val="11"/>
        <color theme="1"/>
        <rFont val="Aptos Narrow"/>
        <family val="2"/>
        <scheme val="minor"/>
      </rPr>
      <t xml:space="preserve"> sul POI dopo l’inizio del segnale.</t>
    </r>
  </si>
  <si>
    <t>Differenza tra tempo del cue (inizio evento) e momento in cui il POI entra nel FOV.</t>
  </si>
  <si>
    <t>FOMO_A_latency_left/right/behind_mean_s</t>
  </si>
  <si>
    <t>Media delle latenze separate per direzioni (sinistra, destra, dietro).</t>
  </si>
  <si>
    <t>Calcolate per i POI di ciascuna direzione, dal tracciamento.</t>
  </si>
  <si>
    <r>
      <t xml:space="preserve">Indice di </t>
    </r>
    <r>
      <rPr>
        <b/>
        <sz val="11"/>
        <color theme="1"/>
        <rFont val="Aptos Narrow"/>
        <family val="2"/>
        <scheme val="minor"/>
      </rPr>
      <t>asimmetria</t>
    </r>
    <r>
      <rPr>
        <sz val="11"/>
        <color theme="1"/>
        <rFont val="Aptos Narrow"/>
        <family val="2"/>
        <scheme val="minor"/>
      </rPr>
      <t xml:space="preserve"> tra i lati (es. più lenti a sinistra o a destra).</t>
    </r>
  </si>
  <si>
    <t>0–1 (adim.)</t>
  </si>
  <si>
    <t>Derivato dal rapporto fra latenze medie L/R. Più alto = più sbilanciato.</t>
  </si>
  <si>
    <t>Velocità angolare media del movimento della testa.</t>
  </si>
  <si>
    <t>°/s</t>
  </si>
  <si>
    <t>Derivata dal tracciamento rotazionale (yaw/pitch) del visore.</t>
  </si>
  <si>
    <t>Velocità angolare massima raggiunta (picchi).</t>
  </si>
  <si>
    <t>Da picchi locali della velocità angolare.</t>
  </si>
  <si>
    <t>Numero di “burst” di movimento (rapide rotazioni).</t>
  </si>
  <si>
    <t>Conta quante volte la velocità supera una soglia.</t>
  </si>
  <si>
    <t>Durata totale dei burst.</t>
  </si>
  <si>
    <t>Somma delle finestre in cui la velocità è sopra soglia.</t>
  </si>
  <si>
    <r>
      <t xml:space="preserve">Frequenza di </t>
    </r>
    <r>
      <rPr>
        <b/>
        <sz val="11"/>
        <color theme="1"/>
        <rFont val="Aptos Narrow"/>
        <family val="2"/>
        <scheme val="minor"/>
      </rPr>
      <t>cambi di direzione</t>
    </r>
    <r>
      <rPr>
        <sz val="11"/>
        <color theme="1"/>
        <rFont val="Aptos Narrow"/>
        <family val="2"/>
        <scheme val="minor"/>
      </rPr>
      <t xml:space="preserve"> dello sguardo per minuto.</t>
    </r>
  </si>
  <si>
    <t>cambi/min</t>
  </si>
  <si>
    <t>Conteggio di inversioni yaw/pitch &gt; soglia.</t>
  </si>
  <si>
    <t>Come sopra, ma limitato ai POI fuori dal fronte visivo.</t>
  </si>
  <si>
    <t>Stesso principio ma su regioni non frontali.</t>
  </si>
  <si>
    <t>Numero di micro-oscillazioni rapide (“zig-zag”).</t>
  </si>
  <si>
    <t>Da analisi finestra temporale (pattern di inversioni multiple).</t>
  </si>
  <si>
    <t>Numero di cue termici inviati (attivazioni pad).</t>
  </si>
  <si>
    <t>Dal log di Unity/Arduino.</t>
  </si>
  <si>
    <t>Percentuale di cue in cui l’utente ha orientato lo sguardo entro la finestra di successo (es. ≤ 3 s).</t>
  </si>
  <si>
    <t>%</t>
  </si>
  <si>
    <t>Confronto fra tempo del cue e orientamento effettivo (da tracciamento).</t>
  </si>
  <si>
    <t>C_max_pad1-4_C</t>
  </si>
  <si>
    <t>Temperatura massima raggiunta da ciascun pad durante il test.</t>
  </si>
  <si>
    <t>°C</t>
  </si>
  <si>
    <t>Dai sensori termici DS18B20 collegati ad Arduino.</t>
  </si>
  <si>
    <t>C_time_aboveComfort_pad1-4_s</t>
  </si>
  <si>
    <t>Tempo in cui ciascun pad ha superato la temperatura di comfort.</t>
  </si>
  <si>
    <t>Da telemetria termica con soglia definita da “params_comfort_C”.</t>
  </si>
  <si>
    <t>Numero di eventi di arresto di sicurezza (E-stop).</t>
  </si>
  <si>
    <t>Dai messaggi di Arduino/Unity.</t>
  </si>
  <si>
    <t>Sezione FOMO-A (Attentiva)</t>
  </si>
  <si>
    <t>Sezione FOMO-C (Cue Efficacy &amp; Comfort – termico)</t>
  </si>
  <si>
    <t>Sezione FOMO-B (Comportamentale – movimento testa)</t>
  </si>
  <si>
    <t>burst_time (s)</t>
  </si>
  <si>
    <t>avg_ang_speed °/s</t>
  </si>
  <si>
    <t>switch_rate_per_minute</t>
  </si>
  <si>
    <t>safety_events_count</t>
  </si>
  <si>
    <t>poi_miss_pct</t>
  </si>
  <si>
    <t>1_wn</t>
  </si>
  <si>
    <t>0.53602</t>
  </si>
  <si>
    <t>0.871</t>
  </si>
  <si>
    <t>184.25</t>
  </si>
  <si>
    <t>0.504103</t>
  </si>
  <si>
    <t>0.022</t>
  </si>
  <si>
    <t>70.27</t>
  </si>
  <si>
    <t>49.59</t>
  </si>
  <si>
    <t>46.91</t>
  </si>
  <si>
    <t>4_wn</t>
  </si>
  <si>
    <t>0.559284</t>
  </si>
  <si>
    <t>19.77</t>
  </si>
  <si>
    <t>0.829</t>
  </si>
  <si>
    <t>13.2</t>
  </si>
  <si>
    <t>21_wn</t>
  </si>
  <si>
    <t>0.588323</t>
  </si>
  <si>
    <t>0.049</t>
  </si>
  <si>
    <t>43.44</t>
  </si>
  <si>
    <t>37.97</t>
  </si>
  <si>
    <t>20_wn</t>
  </si>
  <si>
    <t>0.536278</t>
  </si>
  <si>
    <t>118.56</t>
  </si>
  <si>
    <t>0.706</t>
  </si>
  <si>
    <t>19_wn</t>
  </si>
  <si>
    <t>0.649991</t>
  </si>
  <si>
    <t>5.25</t>
  </si>
  <si>
    <t>0.116</t>
  </si>
  <si>
    <t>18_wn</t>
  </si>
  <si>
    <t>0.505541</t>
  </si>
  <si>
    <t>116.16</t>
  </si>
  <si>
    <t>0.907</t>
  </si>
  <si>
    <t>17_wn</t>
  </si>
  <si>
    <t>0.51993</t>
  </si>
  <si>
    <t>0.662</t>
  </si>
  <si>
    <t>4.05</t>
  </si>
  <si>
    <t>16_wn</t>
  </si>
  <si>
    <t>0.483439</t>
  </si>
  <si>
    <t>3.86</t>
  </si>
  <si>
    <t>0.058</t>
  </si>
  <si>
    <t>1660.15</t>
  </si>
  <si>
    <t>73.29</t>
  </si>
  <si>
    <t>42.69</t>
  </si>
  <si>
    <t>15_wn</t>
  </si>
  <si>
    <t>0.539918</t>
  </si>
  <si>
    <t>0.34</t>
  </si>
  <si>
    <t>0.446</t>
  </si>
  <si>
    <t>14_wn</t>
  </si>
  <si>
    <t>0.629109</t>
  </si>
  <si>
    <t>4.36</t>
  </si>
  <si>
    <t>0.144</t>
  </si>
  <si>
    <t>35.76</t>
  </si>
  <si>
    <t>13_wn</t>
  </si>
  <si>
    <t>0.536477</t>
  </si>
  <si>
    <t>3.51</t>
  </si>
  <si>
    <t>0.582</t>
  </si>
  <si>
    <t>87.09</t>
  </si>
  <si>
    <t>12_wn</t>
  </si>
  <si>
    <t>0.503486</t>
  </si>
  <si>
    <t>11_wn</t>
  </si>
  <si>
    <t>0.620264</t>
  </si>
  <si>
    <t>142.38</t>
  </si>
  <si>
    <t>0.214</t>
  </si>
  <si>
    <t>10_wn</t>
  </si>
  <si>
    <t>0.547287</t>
  </si>
  <si>
    <t>0.376</t>
  </si>
  <si>
    <t>9_wn</t>
  </si>
  <si>
    <t>0.578357</t>
  </si>
  <si>
    <t>0.465</t>
  </si>
  <si>
    <t>128.73</t>
  </si>
  <si>
    <t>Without_device</t>
  </si>
  <si>
    <t>5_wn</t>
  </si>
  <si>
    <t>0.511731</t>
  </si>
  <si>
    <t>114.11</t>
  </si>
  <si>
    <t>4.66</t>
  </si>
  <si>
    <t>0.246</t>
  </si>
  <si>
    <t>6_wn</t>
  </si>
  <si>
    <t>0.557003</t>
  </si>
  <si>
    <t>0.053</t>
  </si>
  <si>
    <t>44.3</t>
  </si>
  <si>
    <t>7_wn</t>
  </si>
  <si>
    <t>0.629028</t>
  </si>
  <si>
    <t>0.328</t>
  </si>
  <si>
    <t>1378.05</t>
  </si>
  <si>
    <t>123.97</t>
  </si>
  <si>
    <t>8_wn</t>
  </si>
  <si>
    <t>0.62192</t>
  </si>
  <si>
    <t>15.82</t>
  </si>
  <si>
    <t>0.337</t>
  </si>
  <si>
    <t>0.404</t>
  </si>
  <si>
    <t>Descriptive Statistics</t>
  </si>
  <si>
    <t>Group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</si>
  <si>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</si>
  <si>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</si>
  <si>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</si>
  <si>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</si>
  <si>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</si>
  <si>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</si>
  <si>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</si>
  <si>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</si>
  <si>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</si>
  <si>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</si>
  <si>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</si>
  <si>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</si>
  <si>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</si>
  <si>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</si>
  <si>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</si>
  <si>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</si>
  <si>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</si>
  <si>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</si>
  <si>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</si>
  <si>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</si>
  <si>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</si>
  <si>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</si>
  <si>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</si>
  <si>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</si>
  <si>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</si>
  <si>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</si>
  <si>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</si>
  <si>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</si>
  <si>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</si>
  <si>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</si>
  <si>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</si>
  <si>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</si>
  <si>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</si>
  <si>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</si>
  <si>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</si>
  <si>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</si>
  <si>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Group 2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</si>
  <si>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</si>
  <si>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</si>
  <si>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</si>
  <si>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</si>
  <si>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</si>
  <si>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</si>
  <si>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</si>
  <si>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</si>
  <si>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</si>
  <si>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</si>
  <si>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Sample 1</t>
  </si>
  <si>
    <t>Sample 2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</si>
  <si>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</si>
  <si>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</si>
  <si>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</si>
  <si>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</si>
  <si>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</si>
  <si>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</si>
  <si>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</si>
  <si>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</si>
  <si>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</si>
  <si>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</si>
  <si>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</si>
  <si>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</si>
  <si>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</si>
  <si>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</si>
  <si>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</si>
  <si>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</si>
  <si>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</si>
  <si>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</si>
  <si>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poi_miss_pct (%)</t>
  </si>
  <si>
    <t>CF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</si>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</sst>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left" vertical="center"/>
    </xf>
    <xf numFmtId="22" fontId="0" fillId="0" borderId="0" xfId="0" applyNumberFormat="1"/>
    <xf numFmtId="3" fontId="0" fillId="0" borderId="0" xfId="0" applyNumberFormat="1"/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43" fontId="0" fillId="0" borderId="13" xfId="1" applyFont="1" applyBorder="1"/>
    <xf numFmtId="9" fontId="0" fillId="0" borderId="13" xfId="2" applyFont="1" applyBorder="1"/>
    <xf numFmtId="43" fontId="0" fillId="0" borderId="7" xfId="1" applyFont="1" applyBorder="1"/>
    <xf numFmtId="164" fontId="0" fillId="0" borderId="7" xfId="1" applyNumberFormat="1" applyFont="1" applyBorder="1"/>
    <xf numFmtId="10" fontId="0" fillId="0" borderId="7" xfId="2" applyNumberFormat="1" applyFont="1" applyBorder="1"/>
    <xf numFmtId="10" fontId="0" fillId="0" borderId="4" xfId="2" applyNumberFormat="1" applyFont="1" applyBorder="1"/>
    <xf numFmtId="43" fontId="0" fillId="0" borderId="0" xfId="1" applyFont="1" applyBorder="1"/>
    <xf numFmtId="0" fontId="0" fillId="0" borderId="14" xfId="0" applyBorder="1" applyAlignment="1">
      <alignment horizontal="center" vertical="center"/>
    </xf>
    <xf numFmtId="10" fontId="0" fillId="0" borderId="0" xfId="2" applyNumberFormat="1" applyFont="1" applyBorder="1"/>
    <xf numFmtId="10" fontId="0" fillId="0" borderId="3" xfId="2" applyNumberFormat="1" applyFont="1" applyBorder="1"/>
    <xf numFmtId="43" fontId="0" fillId="0" borderId="3" xfId="1" applyFont="1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0" fillId="0" borderId="0" xfId="1" applyNumberFormat="1" applyFont="1" applyBorder="1"/>
    <xf numFmtId="164" fontId="0" fillId="0" borderId="3" xfId="1" applyNumberFormat="1" applyFont="1" applyBorder="1"/>
    <xf numFmtId="164" fontId="0" fillId="0" borderId="2" xfId="1" applyNumberFormat="1" applyFont="1" applyBorder="1"/>
    <xf numFmtId="43" fontId="0" fillId="0" borderId="12" xfId="1" applyFont="1" applyBorder="1"/>
    <xf numFmtId="43" fontId="0" fillId="0" borderId="6" xfId="1" applyFont="1" applyBorder="1"/>
    <xf numFmtId="43" fontId="0" fillId="0" borderId="2" xfId="1" applyFont="1" applyBorder="1"/>
    <xf numFmtId="164" fontId="0" fillId="0" borderId="14" xfId="1" applyNumberFormat="1" applyFont="1" applyBorder="1"/>
    <xf numFmtId="164" fontId="0" fillId="0" borderId="4" xfId="1" applyNumberFormat="1" applyFont="1" applyBorder="1"/>
    <xf numFmtId="1" fontId="0" fillId="0" borderId="12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2" fillId="0" borderId="0" xfId="0" applyFont="1"/>
    <xf numFmtId="1" fontId="0" fillId="0" borderId="14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0" fontId="0" fillId="0" borderId="14" xfId="2" applyNumberFormat="1" applyFont="1" applyBorder="1"/>
    <xf numFmtId="43" fontId="0" fillId="0" borderId="14" xfId="1" applyFont="1" applyBorder="1"/>
    <xf numFmtId="164" fontId="0" fillId="0" borderId="13" xfId="1" applyNumberFormat="1" applyFont="1" applyBorder="1"/>
    <xf numFmtId="164" fontId="0" fillId="0" borderId="12" xfId="1" applyNumberFormat="1" applyFont="1" applyBorder="1"/>
    <xf numFmtId="164" fontId="0" fillId="0" borderId="6" xfId="1" applyNumberFormat="1" applyFont="1" applyBorder="1"/>
    <xf numFmtId="43" fontId="0" fillId="0" borderId="4" xfId="1" applyFont="1" applyBorder="1"/>
    <xf numFmtId="9" fontId="0" fillId="0" borderId="0" xfId="2" applyFont="1" applyBorder="1"/>
    <xf numFmtId="9" fontId="0" fillId="0" borderId="3" xfId="2" applyFont="1" applyBorder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right"/>
    </xf>
    <xf numFmtId="0" fontId="8" fillId="0" borderId="15" xfId="0" applyFont="1" applyBorder="1" applyAlignment="1">
      <alignment horizontal="center"/>
    </xf>
    <xf numFmtId="10" fontId="0" fillId="0" borderId="13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10" fontId="0" fillId="0" borderId="0" xfId="0" applyNumberFormat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left" vertical="center" indent="1"/>
    </xf>
    <xf numFmtId="0" fontId="0" fillId="0" borderId="24" xfId="0" applyBorder="1"/>
    <xf numFmtId="0" fontId="4" fillId="0" borderId="24" xfId="0" applyFont="1" applyBorder="1" applyAlignment="1">
      <alignment horizontal="left" vertical="center" indent="1"/>
    </xf>
    <xf numFmtId="0" fontId="0" fillId="2" borderId="10" xfId="0" applyFill="1" applyBorder="1" applyAlignment="1">
      <alignment horizontal="center" vertical="center"/>
    </xf>
    <xf numFmtId="9" fontId="0" fillId="0" borderId="24" xfId="2" applyFont="1" applyBorder="1"/>
    <xf numFmtId="0" fontId="0" fillId="0" borderId="12" xfId="1" applyNumberFormat="1" applyFont="1" applyBorder="1"/>
    <xf numFmtId="0" fontId="0" fillId="0" borderId="6" xfId="1" applyNumberFormat="1" applyFont="1" applyBorder="1"/>
    <xf numFmtId="0" fontId="0" fillId="0" borderId="2" xfId="1" applyNumberFormat="1" applyFont="1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/>
    <xf numFmtId="43" fontId="0" fillId="0" borderId="0" xfId="0" applyNumberFormat="1"/>
    <xf numFmtId="43" fontId="0" fillId="0" borderId="13" xfId="0" applyNumberFormat="1" applyBorder="1"/>
    <xf numFmtId="43" fontId="0" fillId="0" borderId="16" xfId="0" applyNumberFormat="1" applyBorder="1"/>
    <xf numFmtId="43" fontId="0" fillId="0" borderId="17" xfId="0" applyNumberFormat="1" applyBorder="1"/>
    <xf numFmtId="0" fontId="0" fillId="3" borderId="10" xfId="0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0" fillId="0" borderId="0" xfId="0" applyNumberFormat="1"/>
    <xf numFmtId="164" fontId="0" fillId="0" borderId="13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5" xfId="0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10" fontId="9" fillId="0" borderId="3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'PUNTEGGI TRACCIAMENTO'!$E$7</c:f>
              <c:strCache>
                <c:ptCount val="1"/>
                <c:pt idx="0">
                  <c:v>poi_miss_pct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'PUNTEGGI TRACCIAMENTO'!$E$8:$E$28</c:f>
              <c:numCache>
                <c:formatCode>0.00%</c:formatCode>
                <c:ptCount val="21"/>
                <c:pt idx="0">
                  <c:v>0.421514</c:v>
                </c:pt>
                <c:pt idx="1">
                  <c:v>0.46166600000000002</c:v>
                </c:pt>
                <c:pt idx="2">
                  <c:v>0.43664900000000001</c:v>
                </c:pt>
                <c:pt idx="3">
                  <c:v>0.46043000000000001</c:v>
                </c:pt>
                <c:pt idx="4">
                  <c:v>0.25831500000000002</c:v>
                </c:pt>
                <c:pt idx="5">
                  <c:v>0.54843399999999998</c:v>
                </c:pt>
                <c:pt idx="6">
                  <c:v>0.51778199999999996</c:v>
                </c:pt>
                <c:pt idx="7">
                  <c:v>0.645957</c:v>
                </c:pt>
                <c:pt idx="8">
                  <c:v>0.38336100000000001</c:v>
                </c:pt>
                <c:pt idx="9">
                  <c:v>0.41334700000000002</c:v>
                </c:pt>
                <c:pt idx="10">
                  <c:v>0.51342299999999996</c:v>
                </c:pt>
                <c:pt idx="11">
                  <c:v>0.44497999999999999</c:v>
                </c:pt>
                <c:pt idx="12">
                  <c:v>0.41647000000000001</c:v>
                </c:pt>
                <c:pt idx="13">
                  <c:v>0.49954100000000001</c:v>
                </c:pt>
                <c:pt idx="14">
                  <c:v>0.52218500000000001</c:v>
                </c:pt>
                <c:pt idx="15">
                  <c:v>0.53712599999999999</c:v>
                </c:pt>
                <c:pt idx="16">
                  <c:v>0.34498600000000001</c:v>
                </c:pt>
                <c:pt idx="17">
                  <c:v>0.48045599999999999</c:v>
                </c:pt>
                <c:pt idx="18">
                  <c:v>0.44001800000000002</c:v>
                </c:pt>
                <c:pt idx="19">
                  <c:v>0.43589899999999998</c:v>
                </c:pt>
                <c:pt idx="20">
                  <c:v>0.44051099999999999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9-41C1-BF35-B28A77EC8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084016"/>
        <c:axId val="895138784"/>
      </c:barChart>
      <c:lineChart>
        <c:grouping val="standard"/>
        <c:varyColors val="0"/>
        <c:ser>
          <c:idx val="1"/>
          <c:order val="1"/>
          <c:tx>
            <c:strRef>
              <c:f>'PUNTEGGI TRACCIAMENTO'!$F$7</c:f>
              <c:strCache>
                <c:ptCount val="1"/>
                <c:pt idx="0">
                  <c:v>time_to_poi_mean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'PUNTEGGI TRACCIAMENTO'!$F$8:$F$28</c:f>
              <c:numCache>
                <c:formatCode>_(* #,##0.00_);_(* \(#,##0.00\);_(* "-"??_);_(@_)</c:formatCode>
                <c:ptCount val="21"/>
                <c:pt idx="0">
                  <c:v>3.198</c:v>
                </c:pt>
                <c:pt idx="1">
                  <c:v>4.242</c:v>
                </c:pt>
                <c:pt idx="2">
                  <c:v>3.3420000000000001</c:v>
                </c:pt>
                <c:pt idx="3">
                  <c:v>3.3860000000000001</c:v>
                </c:pt>
                <c:pt idx="4">
                  <c:v>3.4620000000000002</c:v>
                </c:pt>
                <c:pt idx="5">
                  <c:v>4.5369999999999999</c:v>
                </c:pt>
                <c:pt idx="6">
                  <c:v>2.7309999999999999</c:v>
                </c:pt>
                <c:pt idx="7">
                  <c:v>5.7290000000000001</c:v>
                </c:pt>
                <c:pt idx="8">
                  <c:v>3.774</c:v>
                </c:pt>
                <c:pt idx="9">
                  <c:v>4.1429999999999998</c:v>
                </c:pt>
                <c:pt idx="10">
                  <c:v>3.7949999999999999</c:v>
                </c:pt>
                <c:pt idx="11">
                  <c:v>3.7709999999999999</c:v>
                </c:pt>
                <c:pt idx="12">
                  <c:v>4.5469999999999997</c:v>
                </c:pt>
                <c:pt idx="13">
                  <c:v>4.0510000000000002</c:v>
                </c:pt>
                <c:pt idx="14">
                  <c:v>4.226</c:v>
                </c:pt>
                <c:pt idx="15">
                  <c:v>6.548</c:v>
                </c:pt>
                <c:pt idx="16">
                  <c:v>3.6030000000000002</c:v>
                </c:pt>
                <c:pt idx="17">
                  <c:v>3.2210000000000001</c:v>
                </c:pt>
                <c:pt idx="18">
                  <c:v>3.59</c:v>
                </c:pt>
                <c:pt idx="19">
                  <c:v>3.9620000000000002</c:v>
                </c:pt>
                <c:pt idx="20">
                  <c:v>4.5529999999999999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9-41C1-BF35-B28A77EC8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139264"/>
        <c:axId val="895137824"/>
      </c:lineChart>
      <c:catAx>
        <c:axId val="80108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138784"/>
        <c:crosses val="autoZero"/>
        <c:auto val="1"/>
        <c:lblAlgn val="ctr"/>
        <c:lblOffset val="100"/>
        <c:noMultiLvlLbl val="0"/>
      </c:catAx>
      <c:valAx>
        <c:axId val="895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1084016"/>
        <c:crosses val="autoZero"/>
        <c:crossBetween val="between"/>
      </c:valAx>
      <c:valAx>
        <c:axId val="895137824"/>
        <c:scaling>
          <c:orientation val="minMax"/>
          <c:max val="8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139264"/>
        <c:crosses val="max"/>
        <c:crossBetween val="between"/>
      </c:valAx>
      <c:catAx>
        <c:axId val="895139264"/>
        <c:scaling>
          <c:orientation val="minMax"/>
        </c:scaling>
        <c:delete val="1"/>
        <c:axPos val="b"/>
        <c:majorTickMark val="out"/>
        <c:minorTickMark val="none"/>
        <c:tickLblPos val="nextTo"/>
        <c:crossAx val="89513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'PUNTEGGI TRACCIAMENTO'!$E$34</c:f>
              <c:strCache>
                <c:ptCount val="1"/>
                <c:pt idx="0">
                  <c:v>poi_miss_pct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'PUNTEGGI TRACCIAMENTO'!$E$35:$E$55</c:f>
              <c:numCache>
                <c:formatCode>0.00%</c:formatCode>
                <c:ptCount val="21"/>
                <c:pt idx="0">
                  <c:v>0.53602000000000005</c:v>
                </c:pt>
                <c:pt idx="1">
                  <c:v>0.50410299999999997</c:v>
                </c:pt>
                <c:pt idx="2">
                  <c:v>0.53793599999999997</c:v>
                </c:pt>
                <c:pt idx="3">
                  <c:v>0.559284</c:v>
                </c:pt>
                <c:pt idx="4">
                  <c:v>0.51173100000000005</c:v>
                </c:pt>
                <c:pt idx="5">
                  <c:v>0.55700300000000003</c:v>
                </c:pt>
                <c:pt idx="6">
                  <c:v>0.62902800000000003</c:v>
                </c:pt>
                <c:pt idx="7">
                  <c:v>0.62192000000000003</c:v>
                </c:pt>
                <c:pt idx="8">
                  <c:v>0.57835700000000001</c:v>
                </c:pt>
                <c:pt idx="9">
                  <c:v>0.54728699999999997</c:v>
                </c:pt>
                <c:pt idx="10">
                  <c:v>0.62026400000000004</c:v>
                </c:pt>
                <c:pt idx="11">
                  <c:v>0.50348599999999999</c:v>
                </c:pt>
                <c:pt idx="12">
                  <c:v>0.53647699999999998</c:v>
                </c:pt>
                <c:pt idx="13">
                  <c:v>0.62910900000000003</c:v>
                </c:pt>
                <c:pt idx="14">
                  <c:v>0.53991800000000001</c:v>
                </c:pt>
                <c:pt idx="15">
                  <c:v>0.48343900000000001</c:v>
                </c:pt>
                <c:pt idx="16">
                  <c:v>0.51993</c:v>
                </c:pt>
                <c:pt idx="17">
                  <c:v>0.50554100000000002</c:v>
                </c:pt>
                <c:pt idx="18">
                  <c:v>0.64999099999999999</c:v>
                </c:pt>
                <c:pt idx="19">
                  <c:v>0.53627800000000003</c:v>
                </c:pt>
                <c:pt idx="20">
                  <c:v>0.58832300000000004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2-4D4C-BF86-0F74B6FA2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084016"/>
        <c:axId val="895138784"/>
      </c:barChart>
      <c:lineChart>
        <c:grouping val="standard"/>
        <c:varyColors val="0"/>
        <c:ser>
          <c:idx val="1"/>
          <c:order val="1"/>
          <c:tx>
            <c:strRef>
              <c:f>'PUNTEGGI TRACCIAMENTO'!$F$34</c:f>
              <c:strCache>
                <c:ptCount val="1"/>
                <c:pt idx="0">
                  <c:v>time_to_poi_mean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'PUNTEGGI TRACCIAMENTO'!$F$35:$F$55</c:f>
              <c:numCache>
                <c:formatCode>_(* #,##0.00_);_(* \(#,##0.00\);_(* "-"??_);_(@_)</c:formatCode>
                <c:ptCount val="21"/>
                <c:pt idx="0">
                  <c:v>3.1150000000000002</c:v>
                </c:pt>
                <c:pt idx="1">
                  <c:v>2.9369999999999998</c:v>
                </c:pt>
                <c:pt idx="2">
                  <c:v>5.3609999999999998</c:v>
                </c:pt>
                <c:pt idx="3">
                  <c:v>3.262</c:v>
                </c:pt>
                <c:pt idx="4">
                  <c:v>5.0949999999999998</c:v>
                </c:pt>
                <c:pt idx="5">
                  <c:v>3.3069999999999999</c:v>
                </c:pt>
                <c:pt idx="6">
                  <c:v>3.0680000000000001</c:v>
                </c:pt>
                <c:pt idx="7">
                  <c:v>5.7789999999999999</c:v>
                </c:pt>
                <c:pt idx="8">
                  <c:v>3.0179999999999998</c:v>
                </c:pt>
                <c:pt idx="9">
                  <c:v>5.6319999999999997</c:v>
                </c:pt>
                <c:pt idx="10">
                  <c:v>3.613</c:v>
                </c:pt>
                <c:pt idx="11">
                  <c:v>4.3890000000000002</c:v>
                </c:pt>
                <c:pt idx="12">
                  <c:v>3.51</c:v>
                </c:pt>
                <c:pt idx="13">
                  <c:v>4.3600000000000003</c:v>
                </c:pt>
                <c:pt idx="14">
                  <c:v>6.8979999999999997</c:v>
                </c:pt>
                <c:pt idx="15">
                  <c:v>3.7440000000000002</c:v>
                </c:pt>
                <c:pt idx="16">
                  <c:v>2.677</c:v>
                </c:pt>
                <c:pt idx="17">
                  <c:v>2.7120000000000002</c:v>
                </c:pt>
                <c:pt idx="18">
                  <c:v>7.4080000000000004</c:v>
                </c:pt>
                <c:pt idx="19">
                  <c:v>3.5859999999999999</c:v>
                </c:pt>
                <c:pt idx="20">
                  <c:v>4.899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2-4D4C-BF86-0F74B6FA2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139264"/>
        <c:axId val="895137824"/>
      </c:lineChart>
      <c:catAx>
        <c:axId val="80108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138784"/>
        <c:crosses val="autoZero"/>
        <c:auto val="1"/>
        <c:lblAlgn val="ctr"/>
        <c:lblOffset val="100"/>
        <c:noMultiLvlLbl val="0"/>
      </c:catAx>
      <c:valAx>
        <c:axId val="895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1084016"/>
        <c:crosses val="autoZero"/>
        <c:crossBetween val="between"/>
      </c:valAx>
      <c:valAx>
        <c:axId val="89513782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139264"/>
        <c:crosses val="max"/>
        <c:crossBetween val="between"/>
      </c:valAx>
      <c:catAx>
        <c:axId val="895139264"/>
        <c:scaling>
          <c:orientation val="minMax"/>
        </c:scaling>
        <c:delete val="1"/>
        <c:axPos val="b"/>
        <c:majorTickMark val="out"/>
        <c:minorTickMark val="none"/>
        <c:tickLblPos val="nextTo"/>
        <c:crossAx val="89513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% POI mancati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% POI mancati</a:t>
          </a:r>
        </a:p>
      </cx:txPr>
    </cx:title>
    <cx:plotArea>
      <cx:plotAreaRegion>
        <cx:series layoutId="boxWhisker" uniqueId="{A8AA06BD-6F4C-467F-8579-D8F2EFC24F37}">
          <cx:tx>
            <cx:txData>
              <cx:f>_xlchart.v1.0</cx:f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7F89870-B04F-4714-8AA4-1B7B1C4FAAA6}">
          <cx:tx>
            <cx:txData>
              <cx:f>_xlchart.v1.2</cx:f>
              <cx:v>SF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it-IT" sz="900" b="0" i="0" u="none" strike="noStrike" baseline="0">
              <a:noFill/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35034</xdr:colOff>
      <xdr:row>5</xdr:row>
      <xdr:rowOff>130504</xdr:rowOff>
    </xdr:from>
    <xdr:to>
      <xdr:col>21</xdr:col>
      <xdr:colOff>271517</xdr:colOff>
      <xdr:row>20</xdr:row>
      <xdr:rowOff>114738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5C1C957-F52E-46D5-6225-7D6E28B40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46892</xdr:colOff>
      <xdr:row>5</xdr:row>
      <xdr:rowOff>117232</xdr:rowOff>
    </xdr:from>
    <xdr:to>
      <xdr:col>28</xdr:col>
      <xdr:colOff>318545</xdr:colOff>
      <xdr:row>20</xdr:row>
      <xdr:rowOff>101466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6F561FE-85E9-4C9D-97BE-3A480C61F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467591</xdr:colOff>
      <xdr:row>25</xdr:row>
      <xdr:rowOff>2309</xdr:rowOff>
    </xdr:from>
    <xdr:to>
      <xdr:col>25</xdr:col>
      <xdr:colOff>525319</xdr:colOff>
      <xdr:row>39</xdr:row>
      <xdr:rowOff>43873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BA0BEC60-FCA5-FF95-BF7C-92DE49C69E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37931" y="4574309"/>
              <a:ext cx="4568768" cy="27161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RealStats.xlam" TargetMode="External"/><Relationship Id="rId1" Type="http://schemas.openxmlformats.org/officeDocument/2006/relationships/externalLinkPath" Target="file:///D: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AGOSTINO"/>
      <definedName name="DPTEST"/>
      <definedName name="IQR"/>
      <definedName name="MAD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B90B-4C0C-401C-BD49-4EDA9FD4D178}">
  <dimension ref="B2:AA239"/>
  <sheetViews>
    <sheetView showGridLines="0" tabSelected="1" topLeftCell="E1" zoomScale="107" zoomScaleNormal="85" workbookViewId="0">
      <selection activeCell="O73" sqref="O73:S75"/>
    </sheetView>
  </sheetViews>
  <sheetFormatPr defaultRowHeight="14.4"/>
  <cols>
    <col min="2" max="2" width="29" customWidth="1"/>
    <col min="3" max="3" width="15.88671875" customWidth="1"/>
    <col min="4" max="5" width="16.5546875" bestFit="1" customWidth="1"/>
    <col min="6" max="6" width="21.88671875" bestFit="1" customWidth="1"/>
    <col min="7" max="7" width="24.33203125" bestFit="1" customWidth="1"/>
    <col min="8" max="8" width="19" bestFit="1" customWidth="1"/>
    <col min="9" max="9" width="18.88671875" customWidth="1"/>
    <col min="10" max="10" width="21" bestFit="1" customWidth="1"/>
    <col min="11" max="11" width="17.44140625" bestFit="1" customWidth="1"/>
    <col min="12" max="12" width="27.6640625" bestFit="1" customWidth="1"/>
    <col min="13" max="13" width="18.109375" bestFit="1" customWidth="1"/>
    <col min="14" max="14" width="13.109375" bestFit="1" customWidth="1"/>
    <col min="15" max="17" width="9.21875" bestFit="1" customWidth="1"/>
    <col min="18" max="18" width="12.21875" bestFit="1" customWidth="1"/>
    <col min="19" max="20" width="9.21875" bestFit="1" customWidth="1"/>
    <col min="21" max="21" width="9.109375" bestFit="1" customWidth="1"/>
    <col min="24" max="24" width="14.88671875" bestFit="1" customWidth="1"/>
    <col min="25" max="25" width="14.77734375" bestFit="1" customWidth="1"/>
    <col min="26" max="26" width="8.21875" customWidth="1"/>
    <col min="27" max="27" width="7.44140625" customWidth="1"/>
  </cols>
  <sheetData>
    <row r="2" spans="2:13">
      <c r="B2" s="119" t="s">
        <v>26</v>
      </c>
      <c r="C2" s="119"/>
      <c r="D2" s="14"/>
    </row>
    <row r="3" spans="2:13">
      <c r="E3" s="14"/>
    </row>
    <row r="4" spans="2:13">
      <c r="B4" s="48" t="s">
        <v>25</v>
      </c>
    </row>
    <row r="6" spans="2:13">
      <c r="C6" s="120" t="s">
        <v>24</v>
      </c>
      <c r="D6" s="120" t="s">
        <v>217</v>
      </c>
      <c r="E6" s="116" t="s">
        <v>23</v>
      </c>
      <c r="F6" s="117"/>
      <c r="G6" s="122" t="s">
        <v>22</v>
      </c>
      <c r="H6" s="123"/>
      <c r="I6" s="123"/>
      <c r="J6" s="124"/>
      <c r="K6" s="116" t="s">
        <v>21</v>
      </c>
      <c r="L6" s="117"/>
      <c r="M6" s="118"/>
    </row>
    <row r="7" spans="2:13">
      <c r="C7" s="121"/>
      <c r="D7" s="121"/>
      <c r="E7" s="12" t="s">
        <v>440</v>
      </c>
      <c r="F7" s="11" t="s">
        <v>208</v>
      </c>
      <c r="G7" s="12" t="s">
        <v>278</v>
      </c>
      <c r="H7" s="11" t="s">
        <v>218</v>
      </c>
      <c r="I7" s="11" t="s">
        <v>277</v>
      </c>
      <c r="J7" s="11" t="s">
        <v>279</v>
      </c>
      <c r="K7" s="28" t="s">
        <v>219</v>
      </c>
      <c r="L7" s="18" t="s">
        <v>220</v>
      </c>
      <c r="M7" s="19" t="s">
        <v>280</v>
      </c>
    </row>
    <row r="8" spans="2:13">
      <c r="B8" s="17" t="s">
        <v>20</v>
      </c>
      <c r="C8" s="10" t="str" cm="1">
        <f t="array" aca="1" ref="C8" ca="1">INDIRECT("'" &amp; B8 &amp; "'" &amp; "!E2")</f>
        <v>Elephants</v>
      </c>
      <c r="D8" s="45" cm="1">
        <f t="array" aca="1" ref="D8" ca="1">_xlfn.NUMBERVALUE(INDIRECT("'" &amp; B8 &amp; "'" &amp; "!f2"))/100</f>
        <v>240.24</v>
      </c>
      <c r="E8" s="29" cm="1">
        <f t="array" aca="1" ref="E8" ca="1">_xlfn.NUMBERVALUE(INDIRECT("'" &amp; B8 &amp; "'" &amp; "!H2"))/1000000</f>
        <v>0.421514</v>
      </c>
      <c r="F8" s="40" cm="1">
        <f t="array" aca="1" ref="F8" ca="1">_xlfn.NUMBERVALUE(INDIRECT("'" &amp; B8 &amp; "'" &amp; "!k2"))/1000</f>
        <v>3.198</v>
      </c>
      <c r="G8" s="27" cm="1">
        <f t="array" aca="1" ref="G8" ca="1">_xlfn.NUMBERVALUE(INDIRECT("'" &amp; B8 &amp; "'" &amp; "!k2"))/100</f>
        <v>31.98</v>
      </c>
      <c r="H8" s="37" cm="1">
        <f t="array" aca="1" ref="H8" ca="1">_xlfn.NUMBERVALUE(INDIRECT("'" &amp; B8 &amp; "'" &amp; "!W2"))</f>
        <v>24</v>
      </c>
      <c r="I8" s="27" cm="1">
        <f t="array" aca="1" ref="I8" ca="1">_xlfn.NUMBERVALUE(INDIRECT("'" &amp; B8 &amp; "'" &amp; "!X2"))/1000</f>
        <v>6.2069999999999999</v>
      </c>
      <c r="J8" s="37" cm="1">
        <f t="array" aca="1" ref="J8" ca="1">_xlfn.NUMBERVALUE(INDIRECT("'" &amp; B8 &amp; "'" &amp; "!y2"))/10000</f>
        <v>8.2927</v>
      </c>
      <c r="K8" s="43" cm="1">
        <f t="array" aca="1" ref="K8" ca="1">_xlfn.NUMBERVALUE(INDIRECT("'" &amp; B8 &amp; "'" &amp; "!s2"))</f>
        <v>29</v>
      </c>
      <c r="L8" s="22" cm="1">
        <f t="array" aca="1" ref="L8" ca="1">_xlfn.NUMBERVALUE(INDIRECT("'" &amp; B8 &amp; "'" &amp; "!t2"))/100000</f>
        <v>0.62068999999999996</v>
      </c>
      <c r="M8" s="84">
        <v>0</v>
      </c>
    </row>
    <row r="9" spans="2:13">
      <c r="B9" s="9" t="s">
        <v>19</v>
      </c>
      <c r="C9" s="7" t="str" cm="1">
        <f t="array" aca="1" ref="C9" ca="1">INDIRECT("'" &amp; B9 &amp; "'" &amp; "!E2")</f>
        <v>Elephants</v>
      </c>
      <c r="D9" s="46" cm="1">
        <f t="array" aca="1" ref="D9" ca="1">_xlfn.NUMBERVALUE(INDIRECT("'" &amp; B9 &amp; "'" &amp; "!f2"))/100</f>
        <v>240.24</v>
      </c>
      <c r="E9" s="29" cm="1">
        <f t="array" aca="1" ref="E9" ca="1">_xlfn.NUMBERVALUE(INDIRECT("'" &amp; B9 &amp; "'" &amp; "!H2"))/1000000</f>
        <v>0.46166600000000002</v>
      </c>
      <c r="F9" s="41" cm="1">
        <f t="array" aca="1" ref="F9" ca="1">_xlfn.NUMBERVALUE(INDIRECT("'" &amp; B9 &amp; "'" &amp; "!k2"))/1000</f>
        <v>4.242</v>
      </c>
      <c r="G9" s="27" cm="1">
        <f t="array" aca="1" ref="G9" ca="1">_xlfn.NUMBERVALUE(INDIRECT("'" &amp; B9 &amp; "'" &amp; "!k2"))/100</f>
        <v>42.42</v>
      </c>
      <c r="H9" s="37" cm="1">
        <f t="array" aca="1" ref="H9" ca="1">_xlfn.NUMBERVALUE(INDIRECT("'" &amp; B9 &amp; "'" &amp; "!W2"))</f>
        <v>1</v>
      </c>
      <c r="I9" s="27" cm="1">
        <f t="array" aca="1" ref="I9" ca="1">_xlfn.NUMBERVALUE(INDIRECT("'" &amp; B9 &amp; "'" &amp; "!X2"))/1000</f>
        <v>0.125</v>
      </c>
      <c r="J9" s="37" cm="1">
        <f t="array" aca="1" ref="J9" ca="1">_xlfn.NUMBERVALUE(INDIRECT("'" &amp; B9 &amp; "'" &amp; "!y2"))/10000</f>
        <v>5.7446999999999999</v>
      </c>
      <c r="K9" s="24" cm="1">
        <f t="array" aca="1" ref="K9" ca="1">_xlfn.NUMBERVALUE(INDIRECT("'" &amp; B9 &amp; "'" &amp; "!s2"))</f>
        <v>23</v>
      </c>
      <c r="L9" s="58" cm="1">
        <f t="array" aca="1" ref="L9" ca="1">_xlfn.NUMBERVALUE(INDIRECT("'" &amp; B9 &amp; "'" &amp; "!t2"))/10000</f>
        <v>0.39129999999999998</v>
      </c>
      <c r="M9" s="85">
        <v>0</v>
      </c>
    </row>
    <row r="10" spans="2:13">
      <c r="B10" s="9" t="s">
        <v>18</v>
      </c>
      <c r="C10" s="7" t="str" cm="1">
        <f t="array" aca="1" ref="C10" ca="1">INDIRECT("'" &amp; B10 &amp; "'" &amp; "!E2")</f>
        <v>Elephants</v>
      </c>
      <c r="D10" s="46" cm="1">
        <f t="array" aca="1" ref="D10" ca="1">_xlfn.NUMBERVALUE(INDIRECT("'" &amp; B10 &amp; "'" &amp; "!f2"))/100</f>
        <v>240.24</v>
      </c>
      <c r="E10" s="29" cm="1">
        <f t="array" aca="1" ref="E10" ca="1">_xlfn.NUMBERVALUE(INDIRECT("'" &amp; B10 &amp; "'" &amp; "!H2"))/1000000</f>
        <v>0.43664900000000001</v>
      </c>
      <c r="F10" s="41" cm="1">
        <f t="array" aca="1" ref="F10" ca="1">_xlfn.NUMBERVALUE(INDIRECT("'" &amp; B10 &amp; "'" &amp; "!k2"))/1000</f>
        <v>3.3420000000000001</v>
      </c>
      <c r="G10" s="27" cm="1">
        <f t="array" aca="1" ref="G10" ca="1">_xlfn.NUMBERVALUE(INDIRECT("'" &amp; B10 &amp; "'" &amp; "!k2"))/100</f>
        <v>33.42</v>
      </c>
      <c r="H10" s="37" cm="1">
        <f t="array" aca="1" ref="H10" ca="1">_xlfn.NUMBERVALUE(INDIRECT("'" &amp; B10 &amp; "'" &amp; "!W2"))</f>
        <v>17</v>
      </c>
      <c r="I10" s="27" cm="1">
        <f t="array" aca="1" ref="I10" ca="1">_xlfn.NUMBERVALUE(INDIRECT("'" &amp; B10 &amp; "'" &amp; "!X2"))/1000</f>
        <v>2.9289999999999998</v>
      </c>
      <c r="J10" s="37" cm="1">
        <f t="array" aca="1" ref="J10" ca="1">_xlfn.NUMBERVALUE(INDIRECT("'" &amp; B10 &amp; "'" &amp; "!y2"))/10000</f>
        <v>9.9663000000000004</v>
      </c>
      <c r="K10" s="24" cm="1">
        <f t="array" aca="1" ref="K10" ca="1">_xlfn.NUMBERVALUE(INDIRECT("'" &amp; B10 &amp; "'" &amp; "!s2"))</f>
        <v>28</v>
      </c>
      <c r="L10" s="58" cm="1">
        <f t="array" aca="1" ref="L10" ca="1">_xlfn.NUMBERVALUE(INDIRECT("'" &amp; B10 &amp; "'" &amp; "!t2"))/100000</f>
        <v>0.67857000000000001</v>
      </c>
      <c r="M10" s="85">
        <v>0</v>
      </c>
    </row>
    <row r="11" spans="2:13">
      <c r="B11" s="9" t="s">
        <v>17</v>
      </c>
      <c r="C11" s="7" t="str" cm="1">
        <f t="array" aca="1" ref="C11" ca="1">INDIRECT("'" &amp; B11 &amp; "'" &amp; "!E2")</f>
        <v>Elephants</v>
      </c>
      <c r="D11" s="46" cm="1">
        <f t="array" aca="1" ref="D11" ca="1">_xlfn.NUMBERVALUE(INDIRECT("'" &amp; B11 &amp; "'" &amp; "!f2"))/100</f>
        <v>240.24</v>
      </c>
      <c r="E11" s="29" cm="1">
        <f t="array" aca="1" ref="E11" ca="1">_xlfn.NUMBERVALUE(INDIRECT("'" &amp; B11 &amp; "'" &amp; "!H2"))/100000</f>
        <v>0.46043000000000001</v>
      </c>
      <c r="F11" s="41" cm="1">
        <f t="array" aca="1" ref="F11" ca="1">_xlfn.NUMBERVALUE(INDIRECT("'" &amp; B11 &amp; "'" &amp; "!k2"))/1000</f>
        <v>3.3860000000000001</v>
      </c>
      <c r="G11" s="27" cm="1">
        <f t="array" aca="1" ref="G11" ca="1">_xlfn.NUMBERVALUE(INDIRECT("'" &amp; B11 &amp; "'" &amp; "!k2"))/100</f>
        <v>33.86</v>
      </c>
      <c r="H11" s="37" cm="1">
        <f t="array" aca="1" ref="H11" ca="1">_xlfn.NUMBERVALUE(INDIRECT("'" &amp; B11 &amp; "'" &amp; "!W2"))</f>
        <v>32</v>
      </c>
      <c r="I11" s="27" cm="1">
        <f t="array" aca="1" ref="I11" ca="1">_xlfn.NUMBERVALUE(INDIRECT("'" &amp; B11 &amp; "'" &amp; "!X2"))/1000</f>
        <v>6.2389999999999999</v>
      </c>
      <c r="J11" s="37" cm="1">
        <f t="array" aca="1" ref="J11" ca="1">_xlfn.NUMBERVALUE(INDIRECT("'" &amp; B11 &amp; "'" &amp; "!y2"))/10000</f>
        <v>7.3685999999999998</v>
      </c>
      <c r="K11" s="24" cm="1">
        <f t="array" aca="1" ref="K11" ca="1">_xlfn.NUMBERVALUE(INDIRECT("'" &amp; B11 &amp; "'" &amp; "!s2"))</f>
        <v>30</v>
      </c>
      <c r="L11" s="58" cm="1">
        <f t="array" aca="1" ref="L11" ca="1">_xlfn.NUMBERVALUE(INDIRECT("'" &amp; B11 &amp; "'" &amp; "!t2"))/100000</f>
        <v>0.53332999999999997</v>
      </c>
      <c r="M11" s="85">
        <v>0</v>
      </c>
    </row>
    <row r="12" spans="2:13">
      <c r="B12" s="9" t="s">
        <v>16</v>
      </c>
      <c r="C12" s="7" t="str" cm="1">
        <f t="array" aca="1" ref="C12" ca="1">INDIRECT("'" &amp; B12 &amp; "'" &amp; "!E2")</f>
        <v>Elephants</v>
      </c>
      <c r="D12" s="46" cm="1">
        <f t="array" aca="1" ref="D12" ca="1">_xlfn.NUMBERVALUE(INDIRECT("'" &amp; B12 &amp; "'" &amp; "!f2"))/100</f>
        <v>240.24</v>
      </c>
      <c r="E12" s="29" cm="1">
        <f t="array" aca="1" ref="E12" ca="1">_xlfn.NUMBERVALUE(INDIRECT("'" &amp; B12 &amp; "'" &amp; "!H2"))/1000000</f>
        <v>0.25831500000000002</v>
      </c>
      <c r="F12" s="41" cm="1">
        <f t="array" aca="1" ref="F12" ca="1">_xlfn.NUMBERVALUE(INDIRECT("'" &amp; B12 &amp; "'" &amp; "!k2"))/1000</f>
        <v>3.4620000000000002</v>
      </c>
      <c r="G12" s="27" cm="1">
        <f t="array" aca="1" ref="G12" ca="1">_xlfn.NUMBERVALUE(INDIRECT("'" &amp; B12 &amp; "'" &amp; "!k2"))/100</f>
        <v>34.619999999999997</v>
      </c>
      <c r="H12" s="37" cm="1">
        <f t="array" aca="1" ref="H12" ca="1">_xlfn.NUMBERVALUE(INDIRECT("'" &amp; B12 &amp; "'" &amp; "!W2"))</f>
        <v>6</v>
      </c>
      <c r="I12" s="27" cm="1">
        <f t="array" aca="1" ref="I12" ca="1">_xlfn.NUMBERVALUE(INDIRECT("'" &amp; B12 &amp; "'" &amp; "!X2"))/1000</f>
        <v>1.669</v>
      </c>
      <c r="J12" s="37" cm="1">
        <f t="array" aca="1" ref="J12" ca="1">_xlfn.NUMBERVALUE(INDIRECT("'" &amp; B12 &amp; "'" &amp; "!y2"))/10000</f>
        <v>3.8965999999999998</v>
      </c>
      <c r="K12" s="24" cm="1">
        <f t="array" aca="1" ref="K12" ca="1">_xlfn.NUMBERVALUE(INDIRECT("'" &amp; B12 &amp; "'" &amp; "!s2"))</f>
        <v>16</v>
      </c>
      <c r="L12" s="58" cm="1">
        <f t="array" aca="1" ref="L12" ca="1">_xlfn.NUMBERVALUE(INDIRECT("'" &amp; B12 &amp; "'" &amp; "!t2"))/100</f>
        <v>0.75</v>
      </c>
      <c r="M12" s="85">
        <v>0</v>
      </c>
    </row>
    <row r="13" spans="2:13">
      <c r="B13" s="9" t="s">
        <v>15</v>
      </c>
      <c r="C13" s="7" t="str" cm="1">
        <f t="array" aca="1" ref="C13" ca="1">INDIRECT("'" &amp; B13 &amp; "'" &amp; "!E2")</f>
        <v>Elephants</v>
      </c>
      <c r="D13" s="46" cm="1">
        <f t="array" aca="1" ref="D13" ca="1">_xlfn.NUMBERVALUE(INDIRECT("'" &amp; B13 &amp; "'" &amp; "!f2"))/100</f>
        <v>240.24</v>
      </c>
      <c r="E13" s="29" cm="1">
        <f t="array" aca="1" ref="E13" ca="1">_xlfn.NUMBERVALUE(INDIRECT("'" &amp; B13 &amp; "'" &amp; "!H2"))/1000000</f>
        <v>0.54843399999999998</v>
      </c>
      <c r="F13" s="41" cm="1">
        <f t="array" aca="1" ref="F13" ca="1">_xlfn.NUMBERVALUE(INDIRECT("'" &amp; B13 &amp; "'" &amp; "!k2"))/1000</f>
        <v>4.5369999999999999</v>
      </c>
      <c r="G13" s="27" cm="1">
        <f t="array" aca="1" ref="G13" ca="1">_xlfn.NUMBERVALUE(INDIRECT("'" &amp; B13 &amp; "'" &amp; "!k2"))/100</f>
        <v>45.37</v>
      </c>
      <c r="H13" s="37" cm="1">
        <f t="array" aca="1" ref="H13" ca="1">_xlfn.NUMBERVALUE(INDIRECT("'" &amp; B13 &amp; "'" &amp; "!W2"))</f>
        <v>5</v>
      </c>
      <c r="I13" s="27" cm="1">
        <f t="array" aca="1" ref="I13" ca="1">_xlfn.NUMBERVALUE(INDIRECT("'" &amp; B13 &amp; "'" &amp; "!X2"))/1000</f>
        <v>0.13600000000000001</v>
      </c>
      <c r="J13" s="37" cm="1">
        <f t="array" aca="1" ref="J13" ca="1">_xlfn.NUMBERVALUE(INDIRECT("'" &amp; B13 &amp; "'" &amp; "!y2"))/10000</f>
        <v>12.2644</v>
      </c>
      <c r="K13" s="24" cm="1">
        <f t="array" aca="1" ref="K13" ca="1">_xlfn.NUMBERVALUE(INDIRECT("'" &amp; B13 &amp; "'" &amp; "!s2"))</f>
        <v>20</v>
      </c>
      <c r="L13" s="58" cm="1">
        <f t="array" aca="1" ref="L13" ca="1">_xlfn.NUMBERVALUE(INDIRECT("'" &amp; B13 &amp; "'" &amp; "!t2"))/100</f>
        <v>0.45</v>
      </c>
      <c r="M13" s="85">
        <v>0</v>
      </c>
    </row>
    <row r="14" spans="2:13">
      <c r="B14" s="9" t="s">
        <v>14</v>
      </c>
      <c r="C14" s="7" t="str" cm="1">
        <f t="array" aca="1" ref="C14" ca="1">INDIRECT("'" &amp; B14 &amp; "'" &amp; "!E2")</f>
        <v>Elephants</v>
      </c>
      <c r="D14" s="46" cm="1">
        <f t="array" aca="1" ref="D14" ca="1">_xlfn.NUMBERVALUE(INDIRECT("'" &amp; B14 &amp; "'" &amp; "!f2"))/100</f>
        <v>240.24</v>
      </c>
      <c r="E14" s="29" cm="1">
        <f t="array" aca="1" ref="E14" ca="1">_xlfn.NUMBERVALUE(INDIRECT("'" &amp; B14 &amp; "'" &amp; "!H2"))/1000000</f>
        <v>0.51778199999999996</v>
      </c>
      <c r="F14" s="41" cm="1">
        <f t="array" aca="1" ref="F14" ca="1">_xlfn.NUMBERVALUE(INDIRECT("'" &amp; B14 &amp; "'" &amp; "!k2"))/1000</f>
        <v>2.7309999999999999</v>
      </c>
      <c r="G14" s="27" cm="1">
        <f t="array" aca="1" ref="G14" ca="1">_xlfn.NUMBERVALUE(INDIRECT("'" &amp; B14 &amp; "'" &amp; "!k2"))/100</f>
        <v>27.31</v>
      </c>
      <c r="H14" s="37" cm="1">
        <f t="array" aca="1" ref="H14" ca="1">_xlfn.NUMBERVALUE(INDIRECT("'" &amp; B14 &amp; "'" &amp; "!W2"))</f>
        <v>44</v>
      </c>
      <c r="I14" s="27" cm="1">
        <f t="array" aca="1" ref="I14" ca="1">_xlfn.NUMBERVALUE(INDIRECT("'" &amp; B14 &amp; "'" &amp; "!X2"))/1000</f>
        <v>12.066000000000001</v>
      </c>
      <c r="J14" s="37" cm="1">
        <f t="array" aca="1" ref="J14" ca="1">_xlfn.NUMBERVALUE(INDIRECT("'" &amp; B14 &amp; "'" &amp; "!y2"))/10000</f>
        <v>11.7646</v>
      </c>
      <c r="K14" s="24" cm="1">
        <f t="array" aca="1" ref="K14" ca="1">_xlfn.NUMBERVALUE(INDIRECT("'" &amp; B14 &amp; "'" &amp; "!s2"))</f>
        <v>37</v>
      </c>
      <c r="L14" s="58" cm="1">
        <f t="array" aca="1" ref="L14" ca="1">_xlfn.NUMBERVALUE(INDIRECT("'" &amp; B14 &amp; "'" &amp; "!t2"))/100000</f>
        <v>0.64864999999999995</v>
      </c>
      <c r="M14" s="85">
        <v>0</v>
      </c>
    </row>
    <row r="15" spans="2:13">
      <c r="B15" s="9" t="s">
        <v>13</v>
      </c>
      <c r="C15" s="7" t="str" cm="1">
        <f t="array" aca="1" ref="C15" ca="1">INDIRECT("'" &amp; B15 &amp; "'" &amp; "!E2")</f>
        <v>Elephants</v>
      </c>
      <c r="D15" s="46" cm="1">
        <f t="array" aca="1" ref="D15" ca="1">_xlfn.NUMBERVALUE(INDIRECT("'" &amp; B15 &amp; "'" &amp; "!f2"))/100</f>
        <v>240.24</v>
      </c>
      <c r="E15" s="29" cm="1">
        <f t="array" aca="1" ref="E15" ca="1">_xlfn.NUMBERVALUE(INDIRECT("'" &amp; B15 &amp; "'" &amp; "!H2"))/1000000</f>
        <v>0.645957</v>
      </c>
      <c r="F15" s="41" cm="1">
        <f t="array" aca="1" ref="F15" ca="1">_xlfn.NUMBERVALUE(INDIRECT("'" &amp; B15 &amp; "'" &amp; "!k2"))/1000</f>
        <v>5.7290000000000001</v>
      </c>
      <c r="G15" s="27" cm="1">
        <f t="array" aca="1" ref="G15" ca="1">_xlfn.NUMBERVALUE(INDIRECT("'" &amp; B15 &amp; "'" &amp; "!k2"))/100</f>
        <v>57.29</v>
      </c>
      <c r="H15" s="37" cm="1">
        <f t="array" aca="1" ref="H15" ca="1">_xlfn.NUMBERVALUE(INDIRECT("'" &amp; B15 &amp; "'" &amp; "!W2"))</f>
        <v>19</v>
      </c>
      <c r="I15" s="27" cm="1">
        <f t="array" aca="1" ref="I15" ca="1">_xlfn.NUMBERVALUE(INDIRECT("'" &amp; B15 &amp; "'" &amp; "!X2"))/1000</f>
        <v>4.5259999999999998</v>
      </c>
      <c r="J15" s="37" cm="1">
        <f t="array" aca="1" ref="J15" ca="1">_xlfn.NUMBERVALUE(INDIRECT("'" &amp; B15 &amp; "'" &amp; "!y2"))/10000</f>
        <v>6.4443000000000001</v>
      </c>
      <c r="K15" s="24" cm="1">
        <f t="array" aca="1" ref="K15" ca="1">_xlfn.NUMBERVALUE(INDIRECT("'" &amp; B15 &amp; "'" &amp; "!s2"))</f>
        <v>27</v>
      </c>
      <c r="L15" s="58" cm="1">
        <f t="array" aca="1" ref="L15" ca="1">_xlfn.NUMBERVALUE(INDIRECT("'" &amp; B15 &amp; "'" &amp; "!t2"))/100000</f>
        <v>0.37036999999999998</v>
      </c>
      <c r="M15" s="85">
        <v>0</v>
      </c>
    </row>
    <row r="16" spans="2:13">
      <c r="B16" s="9" t="s">
        <v>12</v>
      </c>
      <c r="C16" s="7" t="str" cm="1">
        <f t="array" aca="1" ref="C16" ca="1">INDIRECT("'" &amp; B16 &amp; "'" &amp; "!E2")</f>
        <v>Elephants</v>
      </c>
      <c r="D16" s="46" cm="1">
        <f t="array" aca="1" ref="D16" ca="1">_xlfn.NUMBERVALUE(INDIRECT("'" &amp; B16 &amp; "'" &amp; "!f2"))/100</f>
        <v>240.24</v>
      </c>
      <c r="E16" s="29" cm="1">
        <f t="array" aca="1" ref="E16" ca="1">_xlfn.NUMBERVALUE(INDIRECT("'" &amp; B16 &amp; "'" &amp; "!H2"))/1000000</f>
        <v>0.38336100000000001</v>
      </c>
      <c r="F16" s="41" cm="1">
        <f t="array" aca="1" ref="F16" ca="1">_xlfn.NUMBERVALUE(INDIRECT("'" &amp; B16 &amp; "'" &amp; "!k2"))/1000</f>
        <v>3.774</v>
      </c>
      <c r="G16" s="27" cm="1">
        <f t="array" aca="1" ref="G16" ca="1">_xlfn.NUMBERVALUE(INDIRECT("'" &amp; B16 &amp; "'" &amp; "!k2"))/100</f>
        <v>37.74</v>
      </c>
      <c r="H16" s="37" cm="1">
        <f t="array" aca="1" ref="H16" ca="1">_xlfn.NUMBERVALUE(INDIRECT("'" &amp; B16 &amp; "'" &amp; "!W2"))</f>
        <v>3</v>
      </c>
      <c r="I16" s="27" cm="1">
        <f t="array" aca="1" ref="I16" ca="1">_xlfn.NUMBERVALUE(INDIRECT("'" &amp; B16 &amp; "'" &amp; "!X2"))/1000</f>
        <v>0.52900000000000003</v>
      </c>
      <c r="J16" s="37" cm="1">
        <f t="array" aca="1" ref="J16" ca="1">_xlfn.NUMBERVALUE(INDIRECT("'" &amp; B16 &amp; "'" &amp; "!y2"))/10000</f>
        <v>9.9155999999999995</v>
      </c>
      <c r="K16" s="24" cm="1">
        <f t="array" aca="1" ref="K16" ca="1">_xlfn.NUMBERVALUE(INDIRECT("'" &amp; B16 &amp; "'" &amp; "!s2"))</f>
        <v>20</v>
      </c>
      <c r="L16" s="58" cm="1">
        <f t="array" aca="1" ref="L16" ca="1">_xlfn.NUMBERVALUE(INDIRECT("'" &amp; B16 &amp; "'" &amp; "!t2"))/100</f>
        <v>0.6</v>
      </c>
      <c r="M16" s="85">
        <v>0</v>
      </c>
    </row>
    <row r="17" spans="2:19">
      <c r="B17" s="9" t="s">
        <v>11</v>
      </c>
      <c r="C17" s="7" t="str" cm="1">
        <f t="array" aca="1" ref="C17" ca="1">INDIRECT("'" &amp; B17 &amp; "'" &amp; "!E2")</f>
        <v>Elephants</v>
      </c>
      <c r="D17" s="46" cm="1">
        <f t="array" aca="1" ref="D17" ca="1">_xlfn.NUMBERVALUE(INDIRECT("'" &amp; B17 &amp; "'" &amp; "!f2"))/100</f>
        <v>240.24</v>
      </c>
      <c r="E17" s="29" cm="1">
        <f t="array" aca="1" ref="E17" ca="1">_xlfn.NUMBERVALUE(INDIRECT("'" &amp; B17 &amp; "'" &amp; "!H2"))/1000000</f>
        <v>0.41334700000000002</v>
      </c>
      <c r="F17" s="41" cm="1">
        <f t="array" aca="1" ref="F17" ca="1">_xlfn.NUMBERVALUE(INDIRECT("'" &amp; B17 &amp; "'" &amp; "!k2"))/1000</f>
        <v>4.1429999999999998</v>
      </c>
      <c r="G17" s="27" cm="1">
        <f t="array" aca="1" ref="G17" ca="1">_xlfn.NUMBERVALUE(INDIRECT("'" &amp; B17 &amp; "'" &amp; "!k2"))/100</f>
        <v>41.43</v>
      </c>
      <c r="H17" s="37" cm="1">
        <f t="array" aca="1" ref="H17" ca="1">_xlfn.NUMBERVALUE(INDIRECT("'" &amp; B17 &amp; "'" &amp; "!W2"))</f>
        <v>5</v>
      </c>
      <c r="I17" s="27" cm="1">
        <f t="array" aca="1" ref="I17" ca="1">_xlfn.NUMBERVALUE(INDIRECT("'" &amp; B17 &amp; "'" &amp; "!X2"))/1000</f>
        <v>1.0680000000000001</v>
      </c>
      <c r="J17" s="37" cm="1">
        <f t="array" aca="1" ref="J17" ca="1">_xlfn.NUMBERVALUE(INDIRECT("'" &amp; B17 &amp; "'" &amp; "!y2"))/10000</f>
        <v>5.8696999999999999</v>
      </c>
      <c r="K17" s="24" cm="1">
        <f t="array" aca="1" ref="K17" ca="1">_xlfn.NUMBERVALUE(INDIRECT("'" &amp; B17 &amp; "'" &amp; "!s2"))</f>
        <v>16</v>
      </c>
      <c r="L17" s="58" cm="1">
        <f t="array" aca="1" ref="L17" ca="1">_xlfn.NUMBERVALUE(INDIRECT("'" &amp; B17 &amp; "'" &amp; "!t2"))/10000</f>
        <v>0.6875</v>
      </c>
      <c r="M17" s="85">
        <v>0</v>
      </c>
    </row>
    <row r="18" spans="2:19">
      <c r="B18" s="9" t="s">
        <v>10</v>
      </c>
      <c r="C18" s="7" t="str" cm="1">
        <f t="array" aca="1" ref="C18" ca="1">INDIRECT("'" &amp; B18 &amp; "'" &amp; "!E2")</f>
        <v>Elephants</v>
      </c>
      <c r="D18" s="46" cm="1">
        <f t="array" aca="1" ref="D18" ca="1">_xlfn.NUMBERVALUE(INDIRECT("'" &amp; B18 &amp; "'" &amp; "!f2"))/100</f>
        <v>240.24</v>
      </c>
      <c r="E18" s="29" cm="1">
        <f t="array" aca="1" ref="E18" ca="1">_xlfn.NUMBERVALUE(INDIRECT("'" &amp; B18 &amp; "'" &amp; "!H2"))/1000000</f>
        <v>0.51342299999999996</v>
      </c>
      <c r="F18" s="41" cm="1">
        <f t="array" aca="1" ref="F18" ca="1">_xlfn.NUMBERVALUE(INDIRECT("'" &amp; B18 &amp; "'" &amp; "!k2"))/1000</f>
        <v>3.7949999999999999</v>
      </c>
      <c r="G18" s="27" cm="1">
        <f t="array" aca="1" ref="G18" ca="1">_xlfn.NUMBERVALUE(INDIRECT("'" &amp; B18 &amp; "'" &amp; "!k2"))/100</f>
        <v>37.950000000000003</v>
      </c>
      <c r="H18" s="37" cm="1">
        <f t="array" aca="1" ref="H18" ca="1">_xlfn.NUMBERVALUE(INDIRECT("'" &amp; B18 &amp; "'" &amp; "!W2"))</f>
        <v>27</v>
      </c>
      <c r="I18" s="27" cm="1">
        <f t="array" aca="1" ref="I18" ca="1">_xlfn.NUMBERVALUE(INDIRECT("'" &amp; B18 &amp; "'" &amp; "!X2"))/1000</f>
        <v>5.4859999999999998</v>
      </c>
      <c r="J18" s="37" cm="1">
        <f t="array" aca="1" ref="J18" ca="1">_xlfn.NUMBERVALUE(INDIRECT("'" &amp; B18 &amp; "'" &amp; "!y2"))/10000</f>
        <v>23.3795</v>
      </c>
      <c r="K18" s="24" cm="1">
        <f t="array" aca="1" ref="K18" ca="1">_xlfn.NUMBERVALUE(INDIRECT("'" &amp; B18 &amp; "'" &amp; "!s2"))</f>
        <v>30</v>
      </c>
      <c r="L18" s="58" cm="1">
        <f t="array" aca="1" ref="L18" ca="1">_xlfn.NUMBERVALUE(INDIRECT("'" &amp; B18 &amp; "'" &amp; "!t2"))/100</f>
        <v>0.5</v>
      </c>
      <c r="M18" s="85">
        <v>0</v>
      </c>
    </row>
    <row r="19" spans="2:19">
      <c r="B19" s="9" t="s">
        <v>9</v>
      </c>
      <c r="C19" s="7" t="str" cm="1">
        <f t="array" aca="1" ref="C19" ca="1">INDIRECT("'" &amp; B19 &amp; "'" &amp; "!E2")</f>
        <v>Elephants</v>
      </c>
      <c r="D19" s="46" cm="1">
        <f t="array" aca="1" ref="D19" ca="1">_xlfn.NUMBERVALUE(INDIRECT("'" &amp; B19 &amp; "'" &amp; "!f2"))/100</f>
        <v>240.24</v>
      </c>
      <c r="E19" s="29" cm="1">
        <f t="array" aca="1" ref="E19" ca="1">_xlfn.NUMBERVALUE(INDIRECT("'" &amp; B19 &amp; "'" &amp; "!H2"))/100000</f>
        <v>0.44497999999999999</v>
      </c>
      <c r="F19" s="41" cm="1">
        <f t="array" aca="1" ref="F19" ca="1">_xlfn.NUMBERVALUE(INDIRECT("'" &amp; B19 &amp; "'" &amp; "!k2"))/1000</f>
        <v>3.7709999999999999</v>
      </c>
      <c r="G19" s="27" cm="1">
        <f t="array" aca="1" ref="G19" ca="1">_xlfn.NUMBERVALUE(INDIRECT("'" &amp; B19 &amp; "'" &amp; "!k2"))/100</f>
        <v>37.71</v>
      </c>
      <c r="H19" s="37" cm="1">
        <f t="array" aca="1" ref="H19" ca="1">_xlfn.NUMBERVALUE(INDIRECT("'" &amp; B19 &amp; "'" &amp; "!W2"))</f>
        <v>9</v>
      </c>
      <c r="I19" s="27" cm="1">
        <f t="array" aca="1" ref="I19" ca="1">_xlfn.NUMBERVALUE(INDIRECT("'" &amp; B19 &amp; "'" &amp; "!X2"))/1000</f>
        <v>1.575</v>
      </c>
      <c r="J19" s="37" cm="1">
        <f t="array" aca="1" ref="J19" ca="1">_xlfn.NUMBERVALUE(INDIRECT("'" &amp; B19 &amp; "'" &amp; "!y2"))/10000</f>
        <v>9.8914000000000009</v>
      </c>
      <c r="K19" s="24" cm="1">
        <f t="array" aca="1" ref="K19" ca="1">_xlfn.NUMBERVALUE(INDIRECT("'" &amp; B19 &amp; "'" &amp; "!s2"))</f>
        <v>24</v>
      </c>
      <c r="L19" s="58" cm="1">
        <f t="array" aca="1" ref="L19" ca="1">_xlfn.NUMBERVALUE(INDIRECT("'" &amp; B19 &amp; "'" &amp; "!t2"))/100000</f>
        <v>0.70833000000000002</v>
      </c>
      <c r="M19" s="85">
        <v>0</v>
      </c>
    </row>
    <row r="20" spans="2:19">
      <c r="B20" s="9" t="s">
        <v>8</v>
      </c>
      <c r="C20" s="7" t="str" cm="1">
        <f t="array" aca="1" ref="C20" ca="1">INDIRECT("'" &amp; B20 &amp; "'" &amp; "!E2")</f>
        <v>Elephants</v>
      </c>
      <c r="D20" s="46" cm="1">
        <f t="array" aca="1" ref="D20" ca="1">_xlfn.NUMBERVALUE(INDIRECT("'" &amp; B20 &amp; "'" &amp; "!f2"))/100</f>
        <v>240.24</v>
      </c>
      <c r="E20" s="29" cm="1">
        <f t="array" aca="1" ref="E20" ca="1">_xlfn.NUMBERVALUE(INDIRECT("'" &amp; B20 &amp; "'" &amp; "!H2"))/100000</f>
        <v>0.41647000000000001</v>
      </c>
      <c r="F20" s="41" cm="1">
        <f t="array" aca="1" ref="F20" ca="1">_xlfn.NUMBERVALUE(INDIRECT("'" &amp; B20 &amp; "'" &amp; "!k2"))/1000</f>
        <v>4.5469999999999997</v>
      </c>
      <c r="G20" s="27" cm="1">
        <f t="array" aca="1" ref="G20" ca="1">_xlfn.NUMBERVALUE(INDIRECT("'" &amp; B20 &amp; "'" &amp; "!k2"))/100</f>
        <v>45.47</v>
      </c>
      <c r="H20" s="37" cm="1">
        <f t="array" aca="1" ref="H20" ca="1">_xlfn.NUMBERVALUE(INDIRECT("'" &amp; B20 &amp; "'" &amp; "!W2"))</f>
        <v>5</v>
      </c>
      <c r="I20" s="27" cm="1">
        <f t="array" aca="1" ref="I20" ca="1">_xlfn.NUMBERVALUE(INDIRECT("'" &amp; B20 &amp; "'" &amp; "!X2"))/1000</f>
        <v>0.13100000000000001</v>
      </c>
      <c r="J20" s="37" cm="1">
        <f t="array" aca="1" ref="J20" ca="1">_xlfn.NUMBERVALUE(INDIRECT("'" &amp; B20 &amp; "'" &amp; "!y2"))/10000</f>
        <v>6.4443000000000001</v>
      </c>
      <c r="K20" s="24" cm="1">
        <f t="array" aca="1" ref="K20" ca="1">_xlfn.NUMBERVALUE(INDIRECT("'" &amp; B20 &amp; "'" &amp; "!s2"))</f>
        <v>22</v>
      </c>
      <c r="L20" s="58" cm="1">
        <f t="array" aca="1" ref="L20" ca="1">_xlfn.NUMBERVALUE(INDIRECT("'" &amp; B20 &amp; "'" &amp; "!t2"))/100</f>
        <v>0.5</v>
      </c>
      <c r="M20" s="85">
        <v>0</v>
      </c>
    </row>
    <row r="21" spans="2:19">
      <c r="B21" s="9" t="s">
        <v>7</v>
      </c>
      <c r="C21" s="7" t="str" cm="1">
        <f t="array" aca="1" ref="C21" ca="1">INDIRECT("'" &amp; B21 &amp; "'" &amp; "!E2")</f>
        <v>Elephants</v>
      </c>
      <c r="D21" s="46" cm="1">
        <f t="array" aca="1" ref="D21" ca="1">_xlfn.NUMBERVALUE(INDIRECT("'" &amp; B21 &amp; "'" &amp; "!f2"))/100</f>
        <v>240.24</v>
      </c>
      <c r="E21" s="29" cm="1">
        <f t="array" aca="1" ref="E21" ca="1">_xlfn.NUMBERVALUE(INDIRECT("'" &amp; B21 &amp; "'" &amp; "!H2"))/1000000</f>
        <v>0.49954100000000001</v>
      </c>
      <c r="F21" s="41" cm="1">
        <f t="array" aca="1" ref="F21" ca="1">_xlfn.NUMBERVALUE(INDIRECT("'" &amp; B21 &amp; "'" &amp; "!k2"))/1000</f>
        <v>4.0510000000000002</v>
      </c>
      <c r="G21" s="27" cm="1">
        <f t="array" aca="1" ref="G21" ca="1">_xlfn.NUMBERVALUE(INDIRECT("'" &amp; B21 &amp; "'" &amp; "!k2"))/100</f>
        <v>40.51</v>
      </c>
      <c r="H21" s="37" cm="1">
        <f t="array" aca="1" ref="H21" ca="1">_xlfn.NUMBERVALUE(INDIRECT("'" &amp; B21 &amp; "'" &amp; "!W2"))</f>
        <v>23</v>
      </c>
      <c r="I21" s="27" cm="1">
        <f t="array" aca="1" ref="I21" ca="1">_xlfn.NUMBERVALUE(INDIRECT("'" &amp; B21 &amp; "'" &amp; "!X2"))/1000</f>
        <v>5.1520000000000001</v>
      </c>
      <c r="J21" s="37" cm="1">
        <f t="array" aca="1" ref="J21" ca="1">_xlfn.NUMBERVALUE(INDIRECT("'" &amp; B21 &amp; "'" &amp; "!y2"))/10000</f>
        <v>18.633199999999999</v>
      </c>
      <c r="K21" s="24" cm="1">
        <f t="array" aca="1" ref="K21" ca="1">_xlfn.NUMBERVALUE(INDIRECT("'" &amp; B21 &amp; "'" &amp; "!s2"))</f>
        <v>27</v>
      </c>
      <c r="L21" s="58" cm="1">
        <f t="array" aca="1" ref="L21" ca="1">_xlfn.NUMBERVALUE(INDIRECT("'" &amp; B21 &amp; "'" &amp; "!t2"))/100000</f>
        <v>0.48148000000000002</v>
      </c>
      <c r="M21" s="85">
        <v>0</v>
      </c>
    </row>
    <row r="22" spans="2:19">
      <c r="B22" s="9" t="s">
        <v>6</v>
      </c>
      <c r="C22" s="7" t="str" cm="1">
        <f t="array" aca="1" ref="C22" ca="1">INDIRECT("'" &amp; B22 &amp; "'" &amp; "!E2")</f>
        <v>Elephants</v>
      </c>
      <c r="D22" s="46" cm="1">
        <f t="array" aca="1" ref="D22" ca="1">_xlfn.NUMBERVALUE(INDIRECT("'" &amp; B22 &amp; "'" &amp; "!f2"))/100</f>
        <v>240.24</v>
      </c>
      <c r="E22" s="29" cm="1">
        <f t="array" aca="1" ref="E22" ca="1">_xlfn.NUMBERVALUE(INDIRECT("'" &amp; B22 &amp; "'" &amp; "!H2"))/1000000</f>
        <v>0.52218500000000001</v>
      </c>
      <c r="F22" s="41" cm="1">
        <f t="array" aca="1" ref="F22" ca="1">_xlfn.NUMBERVALUE(INDIRECT("'" &amp; B22 &amp; "'" &amp; "!k2"))/1000</f>
        <v>4.226</v>
      </c>
      <c r="G22" s="27" cm="1">
        <f t="array" aca="1" ref="G22" ca="1">_xlfn.NUMBERVALUE(INDIRECT("'" &amp; B22 &amp; "'" &amp; "!k2"))/100</f>
        <v>42.26</v>
      </c>
      <c r="H22" s="37" cm="1">
        <f t="array" aca="1" ref="H22" ca="1">_xlfn.NUMBERVALUE(INDIRECT("'" &amp; B22 &amp; "'" &amp; "!W2"))</f>
        <v>21</v>
      </c>
      <c r="I22" s="27" cm="1">
        <f t="array" aca="1" ref="I22" ca="1">_xlfn.NUMBERVALUE(INDIRECT("'" &amp; B22 &amp; "'" &amp; "!X2"))/1000</f>
        <v>0.47199999999999998</v>
      </c>
      <c r="J22" s="37" cm="1">
        <f t="array" aca="1" ref="J22" ca="1">_xlfn.NUMBERVALUE(INDIRECT("'" &amp; B22 &amp; "'" &amp; "!y2"))/10000</f>
        <v>7.9679000000000002</v>
      </c>
      <c r="K22" s="24" cm="1">
        <f t="array" aca="1" ref="K22" ca="1">_xlfn.NUMBERVALUE(INDIRECT("'" &amp; B22 &amp; "'" &amp; "!s2"))</f>
        <v>28</v>
      </c>
      <c r="L22" s="58" cm="1">
        <f t="array" aca="1" ref="L22" ca="1">_xlfn.NUMBERVALUE(INDIRECT("'" &amp; B22 &amp; "'" &amp; "!t2"))/100</f>
        <v>0.5</v>
      </c>
      <c r="M22" s="85">
        <v>0</v>
      </c>
    </row>
    <row r="23" spans="2:19">
      <c r="B23" s="9" t="s">
        <v>5</v>
      </c>
      <c r="C23" s="7" t="str" cm="1">
        <f t="array" aca="1" ref="C23" ca="1">INDIRECT("'" &amp; B23 &amp; "'" &amp; "!E2")</f>
        <v>Lions</v>
      </c>
      <c r="D23" s="46">
        <v>270</v>
      </c>
      <c r="E23" s="29" cm="1">
        <f t="array" aca="1" ref="E23" ca="1">_xlfn.NUMBERVALUE(INDIRECT("'" &amp; B23 &amp; "'" &amp; "!H2"))/1000000</f>
        <v>0.53712599999999999</v>
      </c>
      <c r="F23" s="41" cm="1">
        <f t="array" aca="1" ref="F23" ca="1">_xlfn.NUMBERVALUE(INDIRECT("'" &amp; B23 &amp; "'" &amp; "!k2"))/1000</f>
        <v>6.548</v>
      </c>
      <c r="G23" s="27" cm="1">
        <f t="array" aca="1" ref="G23" ca="1">_xlfn.NUMBERVALUE(INDIRECT("'" &amp; B23 &amp; "'" &amp; "!k2"))/100</f>
        <v>65.48</v>
      </c>
      <c r="H23" s="37" cm="1">
        <f t="array" aca="1" ref="H23" ca="1">_xlfn.NUMBERVALUE(INDIRECT("'" &amp; B23 &amp; "'" &amp; "!W2"))</f>
        <v>5</v>
      </c>
      <c r="I23" s="27" cm="1">
        <f t="array" aca="1" ref="I23" ca="1">_xlfn.NUMBERVALUE(INDIRECT("'" &amp; B23 &amp; "'" &amp; "!X2"))/1000</f>
        <v>1.7270000000000001</v>
      </c>
      <c r="J23" s="37" cm="1">
        <f t="array" aca="1" ref="J23" ca="1">_xlfn.NUMBERVALUE(INDIRECT("'" &amp; B23 &amp; "'" &amp; "!y2"))/10000</f>
        <v>1.9983</v>
      </c>
      <c r="K23" s="24" cm="1">
        <f t="array" aca="1" ref="K23" ca="1">_xlfn.NUMBERVALUE(INDIRECT("'" &amp; B23 &amp; "'" &amp; "!s2"))</f>
        <v>18</v>
      </c>
      <c r="L23" s="58" cm="1">
        <f t="array" aca="1" ref="L23" ca="1">_xlfn.NUMBERVALUE(INDIRECT("'" &amp; B23 &amp; "'" &amp; "!t2"))/100000</f>
        <v>0.27778000000000003</v>
      </c>
      <c r="M23" s="85">
        <v>0</v>
      </c>
    </row>
    <row r="24" spans="2:19">
      <c r="B24" s="9" t="s">
        <v>4</v>
      </c>
      <c r="C24" s="7" t="str" cm="1">
        <f t="array" aca="1" ref="C24" ca="1">INDIRECT("'" &amp; B24 &amp; "'" &amp; "!E2")</f>
        <v>Lions</v>
      </c>
      <c r="D24" s="46">
        <v>270</v>
      </c>
      <c r="E24" s="29" cm="1">
        <f t="array" aca="1" ref="E24" ca="1">_xlfn.NUMBERVALUE(INDIRECT("'" &amp; B24 &amp; "'" &amp; "!H2"))/1000000</f>
        <v>0.34498600000000001</v>
      </c>
      <c r="F24" s="41" cm="1">
        <f t="array" aca="1" ref="F24" ca="1">_xlfn.NUMBERVALUE(INDIRECT("'" &amp; B24 &amp; "'" &amp; "!k2"))/1000</f>
        <v>3.6030000000000002</v>
      </c>
      <c r="G24" s="27" cm="1">
        <f t="array" aca="1" ref="G24" ca="1">_xlfn.NUMBERVALUE(INDIRECT("'" &amp; B24 &amp; "'" &amp; "!k2"))/100</f>
        <v>36.03</v>
      </c>
      <c r="H24" s="37" cm="1">
        <f t="array" aca="1" ref="H24" ca="1">_xlfn.NUMBERVALUE(INDIRECT("'" &amp; B24 &amp; "'" &amp; "!W2"))</f>
        <v>6</v>
      </c>
      <c r="I24" s="27" cm="1">
        <f t="array" aca="1" ref="I24" ca="1">_xlfn.NUMBERVALUE(INDIRECT("'" &amp; B24 &amp; "'" &amp; "!X2"))/1000</f>
        <v>1.5860000000000001</v>
      </c>
      <c r="J24" s="37" cm="1">
        <f t="array" aca="1" ref="J24" ca="1">_xlfn.NUMBERVALUE(INDIRECT("'" &amp; B24 &amp; "'" &amp; "!y2"))/10000</f>
        <v>5.1205999999999996</v>
      </c>
      <c r="K24" s="24" cm="1">
        <f t="array" aca="1" ref="K24" ca="1">_xlfn.NUMBERVALUE(INDIRECT("'" &amp; B24 &amp; "'" &amp; "!s2"))</f>
        <v>23</v>
      </c>
      <c r="L24" s="58" cm="1">
        <f t="array" aca="1" ref="L24" ca="1">_xlfn.NUMBERVALUE(INDIRECT("'" &amp; B24 &amp; "'" &amp; "!t2"))/100000</f>
        <v>0.52173999999999998</v>
      </c>
      <c r="M24" s="85">
        <v>0</v>
      </c>
    </row>
    <row r="25" spans="2:19">
      <c r="B25" s="9" t="s">
        <v>3</v>
      </c>
      <c r="C25" s="7" t="str" cm="1">
        <f t="array" aca="1" ref="C25" ca="1">INDIRECT("'" &amp; B25 &amp; "'" &amp; "!E2")</f>
        <v>Lions</v>
      </c>
      <c r="D25" s="46">
        <v>270</v>
      </c>
      <c r="E25" s="29" cm="1">
        <f t="array" aca="1" ref="E25" ca="1">_xlfn.NUMBERVALUE(INDIRECT("'" &amp; B25 &amp; "'" &amp; "!H2"))/1000000</f>
        <v>0.48045599999999999</v>
      </c>
      <c r="F25" s="41" cm="1">
        <f t="array" aca="1" ref="F25" ca="1">_xlfn.NUMBERVALUE(INDIRECT("'" &amp; B25 &amp; "'" &amp; "!k2"))/1000</f>
        <v>3.2210000000000001</v>
      </c>
      <c r="G25" s="27" cm="1">
        <f t="array" aca="1" ref="G25" ca="1">_xlfn.NUMBERVALUE(INDIRECT("'" &amp; B25 &amp; "'" &amp; "!k2"))/100</f>
        <v>32.21</v>
      </c>
      <c r="H25" s="37" cm="1">
        <f t="array" aca="1" ref="H25" ca="1">_xlfn.NUMBERVALUE(INDIRECT("'" &amp; B25 &amp; "'" &amp; "!W2"))</f>
        <v>24</v>
      </c>
      <c r="I25" s="27" cm="1">
        <f t="array" aca="1" ref="I25" ca="1">_xlfn.NUMBERVALUE(INDIRECT("'" &amp; B25 &amp; "'" &amp; "!X2"))/1000</f>
        <v>5.5540000000000003</v>
      </c>
      <c r="J25" s="37" cm="1">
        <f t="array" aca="1" ref="J25" ca="1">_xlfn.NUMBERVALUE(INDIRECT("'" &amp; B25 &amp; "'" &amp; "!y2"))/10000</f>
        <v>1.0341</v>
      </c>
      <c r="K25" s="24" cm="1">
        <f t="array" aca="1" ref="K25" ca="1">_xlfn.NUMBERVALUE(INDIRECT("'" &amp; B25 &amp; "'" &amp; "!s2"))</f>
        <v>32</v>
      </c>
      <c r="L25" s="58" cm="1">
        <f t="array" aca="1" ref="L25" ca="1">_xlfn.NUMBERVALUE(INDIRECT("'" &amp; B25 &amp; "'" &amp; "!t2"))/100000</f>
        <v>0.59375</v>
      </c>
      <c r="M25" s="85">
        <v>0</v>
      </c>
      <c r="R25" t="s">
        <v>441</v>
      </c>
      <c r="S25" t="s">
        <v>442</v>
      </c>
    </row>
    <row r="26" spans="2:19">
      <c r="B26" s="9" t="s">
        <v>2</v>
      </c>
      <c r="C26" s="7" t="str" cm="1">
        <f t="array" aca="1" ref="C26" ca="1">INDIRECT("'" &amp; B26 &amp; "'" &amp; "!E2")</f>
        <v>Lions</v>
      </c>
      <c r="D26" s="46">
        <v>270</v>
      </c>
      <c r="E26" s="29" cm="1">
        <f t="array" aca="1" ref="E26" ca="1">_xlfn.NUMBERVALUE(INDIRECT("'" &amp; B26 &amp; "'" &amp; "!H2"))/1000000</f>
        <v>0.44001800000000002</v>
      </c>
      <c r="F26" s="41" cm="1">
        <f t="array" aca="1" ref="F26" ca="1">_xlfn.NUMBERVALUE(INDIRECT("'" &amp; B26 &amp; "'" &amp; "!k2"))/100</f>
        <v>3.59</v>
      </c>
      <c r="G26" s="27" cm="1">
        <f t="array" aca="1" ref="G26" ca="1">_xlfn.NUMBERVALUE(INDIRECT("'" &amp; B26 &amp; "'" &amp; "!k2"))/10</f>
        <v>35.9</v>
      </c>
      <c r="H26" s="37" cm="1">
        <f t="array" aca="1" ref="H26" ca="1">_xlfn.NUMBERVALUE(INDIRECT("'" &amp; B26 &amp; "'" &amp; "!W2"))</f>
        <v>32</v>
      </c>
      <c r="I26" s="27" cm="1">
        <f t="array" aca="1" ref="I26" ca="1">_xlfn.NUMBERVALUE(INDIRECT("'" &amp; B26 &amp; "'" &amp; "!X2"))/1000</f>
        <v>6.923</v>
      </c>
      <c r="J26" s="37" cm="1">
        <f t="array" aca="1" ref="J26" ca="1">_xlfn.NUMBERVALUE(INDIRECT("'" &amp; B26 &amp; "'" &amp; "!y2"))/10000</f>
        <v>10.8405</v>
      </c>
      <c r="K26" s="24" cm="1">
        <f t="array" aca="1" ref="K26" ca="1">_xlfn.NUMBERVALUE(INDIRECT("'" &amp; B26 &amp; "'" &amp; "!s2"))</f>
        <v>28</v>
      </c>
      <c r="L26" s="58" cm="1">
        <f t="array" aca="1" ref="L26" ca="1">_xlfn.NUMBERVALUE(INDIRECT("'" &amp; B26 &amp; "'" &amp; "!t2"))/100000</f>
        <v>0.57142999999999999</v>
      </c>
      <c r="M26" s="85">
        <v>0</v>
      </c>
      <c r="R26" s="77">
        <v>0.421514</v>
      </c>
      <c r="S26" s="77">
        <v>0.53602000000000005</v>
      </c>
    </row>
    <row r="27" spans="2:19">
      <c r="B27" s="9" t="s">
        <v>1</v>
      </c>
      <c r="C27" s="7" t="str" cm="1">
        <f t="array" aca="1" ref="C27" ca="1">INDIRECT("'" &amp; B27 &amp; "'" &amp; "!E2")</f>
        <v>Lions</v>
      </c>
      <c r="D27" s="46">
        <v>270</v>
      </c>
      <c r="E27" s="29" cm="1">
        <f t="array" aca="1" ref="E27" ca="1">_xlfn.NUMBERVALUE(INDIRECT("'" &amp; B27 &amp; "'" &amp; "!H2"))/1000000</f>
        <v>0.43589899999999998</v>
      </c>
      <c r="F27" s="41" cm="1">
        <f t="array" aca="1" ref="F27" ca="1">_xlfn.NUMBERVALUE(INDIRECT("'" &amp; B27 &amp; "'" &amp; "!k2"))/1000</f>
        <v>3.9620000000000002</v>
      </c>
      <c r="G27" s="27" cm="1">
        <f t="array" aca="1" ref="G27" ca="1">_xlfn.NUMBERVALUE(INDIRECT("'" &amp; B27 &amp; "'" &amp; "!k2"))/100</f>
        <v>39.619999999999997</v>
      </c>
      <c r="H27" s="37" cm="1">
        <f t="array" aca="1" ref="H27" ca="1">_xlfn.NUMBERVALUE(INDIRECT("'" &amp; B27 &amp; "'" &amp; "!W2"))</f>
        <v>15</v>
      </c>
      <c r="I27" s="27" cm="1">
        <f t="array" aca="1" ref="I27" ca="1">_xlfn.NUMBERVALUE(INDIRECT("'" &amp; B27 &amp; "'" &amp; "!X2"))/1000</f>
        <v>4.3730000000000002</v>
      </c>
      <c r="J27" s="37" cm="1">
        <f t="array" aca="1" ref="J27" ca="1">_xlfn.NUMBERVALUE(INDIRECT("'" &amp; B27 &amp; "'" &amp; "!y2"))/10000</f>
        <v>1.6984999999999999</v>
      </c>
      <c r="K27" s="24" cm="1">
        <f t="array" aca="1" ref="K27" ca="1">_xlfn.NUMBERVALUE(INDIRECT("'" &amp; B27 &amp; "'" &amp; "!s2"))</f>
        <v>23</v>
      </c>
      <c r="L27" s="58" cm="1">
        <f t="array" aca="1" ref="L27" ca="1">_xlfn.NUMBERVALUE(INDIRECT("'" &amp; B27 &amp; "'" &amp; "!t2"))/100000</f>
        <v>0.43478</v>
      </c>
      <c r="M27" s="85">
        <v>0</v>
      </c>
      <c r="R27" s="77">
        <v>0.46166600000000002</v>
      </c>
      <c r="S27" s="77">
        <v>0.50410299999999997</v>
      </c>
    </row>
    <row r="28" spans="2:19">
      <c r="B28" s="6" t="s">
        <v>0</v>
      </c>
      <c r="C28" s="3" t="str" cm="1">
        <f t="array" aca="1" ref="C28" ca="1">INDIRECT("'" &amp; B28 &amp; "'" &amp; "!E2")</f>
        <v>Lions</v>
      </c>
      <c r="D28" s="47">
        <v>270</v>
      </c>
      <c r="E28" s="30" cm="1">
        <f t="array" aca="1" ref="E28" ca="1">_xlfn.NUMBERVALUE(INDIRECT("'" &amp; B28 &amp; "'" &amp; "!H2"))/1000000</f>
        <v>0.44051099999999999</v>
      </c>
      <c r="F28" s="42" cm="1">
        <f t="array" aca="1" ref="F28" ca="1">_xlfn.NUMBERVALUE(INDIRECT("'" &amp; B28 &amp; "'" &amp; "!k2"))/1000</f>
        <v>4.5529999999999999</v>
      </c>
      <c r="G28" s="31" cm="1">
        <f t="array" aca="1" ref="G28" ca="1">_xlfn.NUMBERVALUE(INDIRECT("'" &amp; B28 &amp; "'" &amp; "!k2"))/100</f>
        <v>45.53</v>
      </c>
      <c r="H28" s="38" cm="1">
        <f t="array" aca="1" ref="H28" ca="1">_xlfn.NUMBERVALUE(INDIRECT("'" &amp; B28 &amp; "'" &amp; "!W2"))</f>
        <v>5</v>
      </c>
      <c r="I28" s="31" cm="1">
        <f t="array" aca="1" ref="I28" ca="1">_xlfn.NUMBERVALUE(INDIRECT("'" &amp; B28 &amp; "'" &amp; "!X2"))/1000</f>
        <v>0.877</v>
      </c>
      <c r="J28" s="39" cm="1">
        <f t="array" aca="1" ref="J28" ca="1">_xlfn.NUMBERVALUE(INDIRECT("'" &amp; B28 &amp; "'" &amp; "!y2"))/10000</f>
        <v>2.9474</v>
      </c>
      <c r="K28" s="44" cm="1">
        <f t="array" aca="1" ref="K28" ca="1">_xlfn.NUMBERVALUE(INDIRECT("'" &amp; B28 &amp; "'" &amp; "!s2"))</f>
        <v>23</v>
      </c>
      <c r="L28" s="83" cm="1">
        <f t="array" aca="1" ref="L28" ca="1">_xlfn.NUMBERVALUE(INDIRECT("'" &amp; B28 &amp; "'" &amp; "!t2"))/100000</f>
        <v>0.34782999999999997</v>
      </c>
      <c r="M28" s="86">
        <v>0</v>
      </c>
      <c r="R28" s="77">
        <v>0.43664900000000001</v>
      </c>
      <c r="S28" s="77">
        <v>0.53793599999999997</v>
      </c>
    </row>
    <row r="29" spans="2:19">
      <c r="R29" s="77">
        <v>0.46043000000000001</v>
      </c>
      <c r="S29" s="77">
        <v>0.559284</v>
      </c>
    </row>
    <row r="30" spans="2:19" ht="23.4">
      <c r="B30" s="2"/>
      <c r="C30" s="2"/>
      <c r="D30" s="2"/>
      <c r="R30" s="77">
        <v>0.25831500000000002</v>
      </c>
      <c r="S30" s="77">
        <v>0.51173100000000005</v>
      </c>
    </row>
    <row r="31" spans="2:19">
      <c r="B31" s="48" t="s">
        <v>351</v>
      </c>
      <c r="R31" s="77">
        <v>0.54843399999999998</v>
      </c>
      <c r="S31" s="77">
        <v>0.55700300000000003</v>
      </c>
    </row>
    <row r="32" spans="2:19">
      <c r="R32" s="77">
        <v>0.51778199999999996</v>
      </c>
      <c r="S32" s="77">
        <v>0.62902800000000003</v>
      </c>
    </row>
    <row r="33" spans="2:19">
      <c r="C33" s="120" t="s">
        <v>24</v>
      </c>
      <c r="D33" s="120" t="s">
        <v>217</v>
      </c>
      <c r="E33" s="116" t="s">
        <v>23</v>
      </c>
      <c r="F33" s="117"/>
      <c r="G33" s="122" t="s">
        <v>22</v>
      </c>
      <c r="H33" s="123"/>
      <c r="I33" s="123"/>
      <c r="J33" s="124"/>
      <c r="K33" s="116" t="s">
        <v>21</v>
      </c>
      <c r="L33" s="117"/>
      <c r="M33" s="118"/>
      <c r="R33" s="77">
        <v>0.645957</v>
      </c>
      <c r="S33" s="77">
        <v>0.62192000000000003</v>
      </c>
    </row>
    <row r="34" spans="2:19">
      <c r="C34" s="121"/>
      <c r="D34" s="121"/>
      <c r="E34" s="12" t="s">
        <v>440</v>
      </c>
      <c r="F34" s="11" t="s">
        <v>208</v>
      </c>
      <c r="G34" s="28" t="s">
        <v>278</v>
      </c>
      <c r="H34" s="18" t="s">
        <v>218</v>
      </c>
      <c r="I34" s="18" t="s">
        <v>277</v>
      </c>
      <c r="J34" s="18" t="s">
        <v>279</v>
      </c>
      <c r="K34" s="28" t="s">
        <v>219</v>
      </c>
      <c r="L34" s="18" t="s">
        <v>220</v>
      </c>
      <c r="M34" s="19" t="s">
        <v>280</v>
      </c>
      <c r="R34" s="77">
        <v>0.38336100000000001</v>
      </c>
      <c r="S34" s="77">
        <v>0.57835700000000001</v>
      </c>
    </row>
    <row r="35" spans="2:19">
      <c r="B35" s="17" t="s">
        <v>20</v>
      </c>
      <c r="C35" s="10" t="str" cm="1">
        <f t="array" aca="1" ref="C35" ca="1">INDIRECT("'" &amp; B35 &amp; "'" &amp; "!E3")</f>
        <v>Lions</v>
      </c>
      <c r="D35" s="49" cm="1">
        <f t="array" aca="1" ref="D35" ca="1">_xlfn.NUMBERVALUE(INDIRECT("'" &amp; B35 &amp; "'" &amp; "!f3"))/1000</f>
        <v>270.60399999999998</v>
      </c>
      <c r="E35" s="52" cm="1">
        <f t="array" aca="1" ref="E35" ca="1">_xlfn.NUMBERVALUE(INDIRECT("'" &amp; B35 &amp; "'" &amp; "!H3"))/100000</f>
        <v>0.53602000000000005</v>
      </c>
      <c r="F35" s="40" cm="1">
        <f t="array" aca="1" ref="F35" ca="1">_xlfn.NUMBERVALUE(INDIRECT("'" &amp; B35 &amp; "'" &amp; "!k3"))/1000</f>
        <v>3.1150000000000002</v>
      </c>
      <c r="G35" s="53" cm="1">
        <f t="array" aca="1" ref="G35" ca="1">_xlfn.NUMBERVALUE(INDIRECT("'" &amp; B35 &amp; "'" &amp; "!k3"))/100</f>
        <v>31.15</v>
      </c>
      <c r="H35" s="54" cm="1">
        <f t="array" aca="1" ref="H35" ca="1">_xlfn.NUMBERVALUE(INDIRECT("'" &amp; B35 &amp; "'" &amp; "!W3"))</f>
        <v>39</v>
      </c>
      <c r="I35" s="21" cm="1">
        <f t="array" aca="1" ref="I35" ca="1">_xlfn.NUMBERVALUE(INDIRECT("'" &amp; B35 &amp; "'" &amp; "!X3"))/1000</f>
        <v>9.7249999999999996</v>
      </c>
      <c r="J35" s="55" cm="1">
        <f t="array" aca="1" ref="J35" ca="1">_xlfn.NUMBERVALUE(INDIRECT("'" &amp; B35 &amp; "'" &amp; "!y3"))/10000</f>
        <v>15.8019</v>
      </c>
      <c r="K35" s="54" cm="1">
        <f t="array" aca="1" ref="K35" ca="1">_xlfn.NUMBERVALUE(INDIRECT("'" &amp; B35 &amp; "'" &amp; "!s3"))</f>
        <v>36</v>
      </c>
      <c r="L35" s="22" cm="1">
        <f t="array" aca="1" ref="L35" ca="1">_xlfn.NUMBERVALUE(INDIRECT("'" &amp; B35 &amp; "'" &amp; "!t3"))/100000</f>
        <v>0.66666999999999998</v>
      </c>
      <c r="M35" s="40">
        <v>0</v>
      </c>
      <c r="R35" s="77">
        <v>0.41334700000000002</v>
      </c>
      <c r="S35" s="77">
        <v>0.54728699999999997</v>
      </c>
    </row>
    <row r="36" spans="2:19">
      <c r="B36" s="9" t="s">
        <v>19</v>
      </c>
      <c r="C36" s="7" t="str" cm="1">
        <f t="array" aca="1" ref="C36" ca="1">INDIRECT("'" &amp; B36 &amp; "'" &amp; "!E3")</f>
        <v>Lions</v>
      </c>
      <c r="D36" s="50" cm="1">
        <f t="array" aca="1" ref="D36" ca="1">_xlfn.NUMBERVALUE(INDIRECT("'" &amp; B36 &amp; "'" &amp; "!f3"))/1000</f>
        <v>270.60399999999998</v>
      </c>
      <c r="E36" s="25" cm="1">
        <f t="array" aca="1" ref="E36" ca="1">_xlfn.NUMBERVALUE(INDIRECT("'" &amp; B36 &amp; "'" &amp; "!H3"))/1000000</f>
        <v>0.50410299999999997</v>
      </c>
      <c r="F36" s="41" cm="1">
        <f t="array" aca="1" ref="F36" ca="1">_xlfn.NUMBERVALUE(INDIRECT("'" &amp; B36 &amp; "'" &amp; "!k3"))/1000</f>
        <v>2.9369999999999998</v>
      </c>
      <c r="G36" s="23" cm="1">
        <f t="array" aca="1" ref="G36" ca="1">_xlfn.NUMBERVALUE(INDIRECT("'" &amp; B36 &amp; "'" &amp; "!k3"))/100</f>
        <v>29.37</v>
      </c>
      <c r="H36" s="37" cm="1">
        <f t="array" aca="1" ref="H36" ca="1">_xlfn.NUMBERVALUE(INDIRECT("'" &amp; B36 &amp; "'" &amp; "!W3"))</f>
        <v>35</v>
      </c>
      <c r="I36" s="27" cm="1">
        <f t="array" aca="1" ref="I36" ca="1">_xlfn.NUMBERVALUE(INDIRECT("'" &amp; B36 &amp; "'" &amp; "!X3"))/1000</f>
        <v>9.8130000000000006</v>
      </c>
      <c r="J36" s="56" cm="1">
        <f t="array" aca="1" ref="J36" ca="1">_xlfn.NUMBERVALUE(INDIRECT("'" &amp; B36 &amp; "'" &amp; "!y3"))/10000</f>
        <v>10.147500000000001</v>
      </c>
      <c r="K36" s="37" cm="1">
        <f t="array" aca="1" ref="K36" ca="1">_xlfn.NUMBERVALUE(INDIRECT("'" &amp; B36 &amp; "'" &amp; "!s3"))</f>
        <v>37</v>
      </c>
      <c r="L36" s="58" cm="1">
        <f t="array" aca="1" ref="L36" ca="1">_xlfn.NUMBERVALUE(INDIRECT("'" &amp; B36 &amp; "'" &amp; "!t3"))/10000</f>
        <v>0.70269999999999999</v>
      </c>
      <c r="M36" s="41" cm="1">
        <f t="array" aca="1" ref="M36" ca="1">INDIRECT("'" &amp; B36 &amp; "'" &amp; "!AJ2")</f>
        <v>0</v>
      </c>
      <c r="R36" s="77">
        <v>0.51342299999999996</v>
      </c>
      <c r="S36" s="77">
        <v>0.62026400000000004</v>
      </c>
    </row>
    <row r="37" spans="2:19">
      <c r="B37" s="9" t="s">
        <v>18</v>
      </c>
      <c r="C37" s="7" t="str" cm="1">
        <f t="array" aca="1" ref="C37" ca="1">INDIRECT("'" &amp; B37 &amp; "'" &amp; "!E3")</f>
        <v>Lions</v>
      </c>
      <c r="D37" s="50" cm="1">
        <f t="array" aca="1" ref="D37" ca="1">_xlfn.NUMBERVALUE(INDIRECT("'" &amp; B37 &amp; "'" &amp; "!f3"))/1000</f>
        <v>270.60399999999998</v>
      </c>
      <c r="E37" s="25" cm="1">
        <f t="array" aca="1" ref="E37" ca="1">_xlfn.NUMBERVALUE(INDIRECT("'" &amp; B37 &amp; "'" &amp; "!H3"))/1000000</f>
        <v>0.53793599999999997</v>
      </c>
      <c r="F37" s="41" cm="1">
        <f t="array" aca="1" ref="F37" ca="1">_xlfn.NUMBERVALUE(INDIRECT("'" &amp; B37 &amp; "'" &amp; "!k3"))/1000</f>
        <v>5.3609999999999998</v>
      </c>
      <c r="G37" s="23" cm="1">
        <f t="array" aca="1" ref="G37" ca="1">_xlfn.NUMBERVALUE(INDIRECT("'" &amp; B37 &amp; "'" &amp; "!k3"))/100</f>
        <v>53.61</v>
      </c>
      <c r="H37" s="37" cm="1">
        <f t="array" aca="1" ref="H37" ca="1">_xlfn.NUMBERVALUE(INDIRECT("'" &amp; B37 &amp; "'" &amp; "!W3"))</f>
        <v>8</v>
      </c>
      <c r="I37" s="27" cm="1">
        <f t="array" aca="1" ref="I37" ca="1">_xlfn.NUMBERVALUE(INDIRECT("'" &amp; B37 &amp; "'" &amp; "!X3"))/1000</f>
        <v>1.589</v>
      </c>
      <c r="J37" s="56" cm="1">
        <f t="array" aca="1" ref="J37" ca="1">_xlfn.NUMBERVALUE(INDIRECT("'" &amp; B37 &amp; "'" &amp; "!y3"))/10000</f>
        <v>3.1575000000000002</v>
      </c>
      <c r="K37" s="37" cm="1">
        <f t="array" aca="1" ref="K37" ca="1">_xlfn.NUMBERVALUE(INDIRECT("'" &amp; B37 &amp; "'" &amp; "!s3"))</f>
        <v>20</v>
      </c>
      <c r="L37" s="58" cm="1">
        <f t="array" aca="1" ref="L37" ca="1">_xlfn.NUMBERVALUE(INDIRECT("'" &amp; B37 &amp; "'" &amp; "!t3"))/100</f>
        <v>0.5</v>
      </c>
      <c r="M37" s="41" cm="1">
        <f t="array" aca="1" ref="M37" ca="1">INDIRECT("'" &amp; B37 &amp; "'" &amp; "!AJ2")</f>
        <v>0</v>
      </c>
      <c r="R37" s="77">
        <v>0.44497999999999999</v>
      </c>
      <c r="S37" s="77">
        <v>0.50348599999999999</v>
      </c>
    </row>
    <row r="38" spans="2:19">
      <c r="B38" s="9" t="s">
        <v>17</v>
      </c>
      <c r="C38" s="7" t="str" cm="1">
        <f t="array" aca="1" ref="C38" ca="1">INDIRECT("'" &amp; B38 &amp; "'" &amp; "!E3")</f>
        <v>Lions</v>
      </c>
      <c r="D38" s="50" cm="1">
        <f t="array" aca="1" ref="D38" ca="1">_xlfn.NUMBERVALUE(INDIRECT("'" &amp; B38 &amp; "'" &amp; "!f3"))/1000</f>
        <v>270.60399999999998</v>
      </c>
      <c r="E38" s="25" cm="1">
        <f t="array" aca="1" ref="E38" ca="1">_xlfn.NUMBERVALUE(INDIRECT("'" &amp; B38 &amp; "'" &amp; "!H3"))/1000000</f>
        <v>0.559284</v>
      </c>
      <c r="F38" s="41" cm="1">
        <f t="array" aca="1" ref="F38" ca="1">_xlfn.NUMBERVALUE(INDIRECT("'" &amp; B38 &amp; "'" &amp; "!k3"))/1000</f>
        <v>3.262</v>
      </c>
      <c r="G38" s="23" cm="1">
        <f t="array" aca="1" ref="G38" ca="1">_xlfn.NUMBERVALUE(INDIRECT("'" &amp; B38 &amp; "'" &amp; "!k3"))/100</f>
        <v>32.619999999999997</v>
      </c>
      <c r="H38" s="37" cm="1">
        <f t="array" aca="1" ref="H38" ca="1">_xlfn.NUMBERVALUE(INDIRECT("'" &amp; B38 &amp; "'" &amp; "!W3"))</f>
        <v>54</v>
      </c>
      <c r="I38" s="27" cm="1">
        <f t="array" aca="1" ref="I38" ca="1">_xlfn.NUMBERVALUE(INDIRECT("'" &amp; B38 &amp; "'" &amp; "!X3"))/100</f>
        <v>1.32</v>
      </c>
      <c r="J38" s="56" cm="1">
        <f t="array" aca="1" ref="J38" ca="1">_xlfn.NUMBERVALUE(INDIRECT("'" &amp; B38 &amp; "'" &amp; "!y3"))/10000</f>
        <v>8.9167000000000005</v>
      </c>
      <c r="K38" s="37" cm="1">
        <f t="array" aca="1" ref="K38" ca="1">_xlfn.NUMBERVALUE(INDIRECT("'" &amp; B38 &amp; "'" &amp; "!s3"))</f>
        <v>29</v>
      </c>
      <c r="L38" s="58" cm="1">
        <f t="array" aca="1" ref="L38" ca="1">_xlfn.NUMBERVALUE(INDIRECT("'" &amp; B38 &amp; "'" &amp; "!t3"))/100000</f>
        <v>0.72414000000000001</v>
      </c>
      <c r="M38" s="41" cm="1">
        <f t="array" aca="1" ref="M38" ca="1">INDIRECT("'" &amp; B38 &amp; "'" &amp; "!AJ2")</f>
        <v>0</v>
      </c>
      <c r="R38" s="77">
        <v>0.41647000000000001</v>
      </c>
      <c r="S38" s="77">
        <v>0.53647699999999998</v>
      </c>
    </row>
    <row r="39" spans="2:19">
      <c r="B39" s="9" t="s">
        <v>16</v>
      </c>
      <c r="C39" s="7" t="str" cm="1">
        <f t="array" aca="1" ref="C39" ca="1">INDIRECT("'" &amp; B39 &amp; "'" &amp; "!E3")</f>
        <v>Lions</v>
      </c>
      <c r="D39" s="50" cm="1">
        <f t="array" aca="1" ref="D39" ca="1">_xlfn.NUMBERVALUE(INDIRECT("'" &amp; B39 &amp; "'" &amp; "!f3"))/1000</f>
        <v>270.60399999999998</v>
      </c>
      <c r="E39" s="25" cm="1">
        <f t="array" aca="1" ref="E39" ca="1">_xlfn.NUMBERVALUE(INDIRECT("'" &amp; B39 &amp; "'" &amp; "!H3"))/1000000</f>
        <v>0.51173100000000005</v>
      </c>
      <c r="F39" s="41" cm="1">
        <f t="array" aca="1" ref="F39" ca="1">_xlfn.NUMBERVALUE(INDIRECT("'" &amp; B39 &amp; "'" &amp; "!k3"))/1000</f>
        <v>5.0949999999999998</v>
      </c>
      <c r="G39" s="23" cm="1">
        <f t="array" aca="1" ref="G39" ca="1">_xlfn.NUMBERVALUE(INDIRECT("'" &amp; B39 &amp; "'" &amp; "!k3"))/100</f>
        <v>50.95</v>
      </c>
      <c r="H39" s="37" cm="1">
        <f t="array" aca="1" ref="H39" ca="1">_xlfn.NUMBERVALUE(INDIRECT("'" &amp; B39 &amp; "'" &amp; "!W3"))</f>
        <v>22</v>
      </c>
      <c r="I39" s="27" cm="1">
        <f t="array" aca="1" ref="I39" ca="1">_xlfn.NUMBERVALUE(INDIRECT("'" &amp; B39 &amp; "'" &amp; "!X3"))/1000</f>
        <v>5.9470000000000001</v>
      </c>
      <c r="J39" s="56" cm="1">
        <f t="array" aca="1" ref="J39" ca="1">_xlfn.NUMBERVALUE(INDIRECT("'" &amp; B39 &amp; "'" &amp; "!y3"))/10000</f>
        <v>4.5742000000000003</v>
      </c>
      <c r="K39" s="37" cm="1">
        <f t="array" aca="1" ref="K39" ca="1">_xlfn.NUMBERVALUE(INDIRECT("'" &amp; B39 &amp; "'" &amp; "!s3"))</f>
        <v>21</v>
      </c>
      <c r="L39" s="58" cm="1">
        <f t="array" aca="1" ref="L39" ca="1">_xlfn.NUMBERVALUE(INDIRECT("'" &amp; B39 &amp; "'" &amp; "!t3"))/100000</f>
        <v>0.52381</v>
      </c>
      <c r="M39" s="41" cm="1">
        <f t="array" aca="1" ref="M39" ca="1">INDIRECT("'" &amp; B39 &amp; "'" &amp; "!AJ2")</f>
        <v>0</v>
      </c>
      <c r="R39" s="77">
        <v>0.49954100000000001</v>
      </c>
      <c r="S39" s="77">
        <v>0.62910900000000003</v>
      </c>
    </row>
    <row r="40" spans="2:19">
      <c r="B40" s="9" t="s">
        <v>15</v>
      </c>
      <c r="C40" s="7" t="str" cm="1">
        <f t="array" aca="1" ref="C40" ca="1">INDIRECT("'" &amp; B40 &amp; "'" &amp; "!E3")</f>
        <v>Lions</v>
      </c>
      <c r="D40" s="50" cm="1">
        <f t="array" aca="1" ref="D40" ca="1">_xlfn.NUMBERVALUE(INDIRECT("'" &amp; B40 &amp; "'" &amp; "!f3"))/1000</f>
        <v>270.60399999999998</v>
      </c>
      <c r="E40" s="25" cm="1">
        <f t="array" aca="1" ref="E40" ca="1">_xlfn.NUMBERVALUE(INDIRECT("'" &amp; B40 &amp; "'" &amp; "!H3"))/1000000</f>
        <v>0.55700300000000003</v>
      </c>
      <c r="F40" s="41" cm="1">
        <f t="array" aca="1" ref="F40" ca="1">_xlfn.NUMBERVALUE(INDIRECT("'" &amp; B40 &amp; "'" &amp; "!k3"))/1000</f>
        <v>3.3069999999999999</v>
      </c>
      <c r="G40" s="23" cm="1">
        <f t="array" aca="1" ref="G40" ca="1">_xlfn.NUMBERVALUE(INDIRECT("'" &amp; B40 &amp; "'" &amp; "!k3"))/100</f>
        <v>33.07</v>
      </c>
      <c r="H40" s="37" cm="1">
        <f t="array" aca="1" ref="H40" ca="1">_xlfn.NUMBERVALUE(INDIRECT("'" &amp; B40 &amp; "'" &amp; "!W3"))</f>
        <v>18</v>
      </c>
      <c r="I40" s="27" cm="1">
        <f t="array" aca="1" ref="I40" ca="1">_xlfn.NUMBERVALUE(INDIRECT("'" &amp; B40 &amp; "'" &amp; "!X3"))/1000</f>
        <v>4.1050000000000004</v>
      </c>
      <c r="J40" s="56" cm="1">
        <f t="array" aca="1" ref="J40" ca="1">_xlfn.NUMBERVALUE(INDIRECT("'" &amp; B40 &amp; "'" &amp; "!y3"))/10000</f>
        <v>8.1011000000000006</v>
      </c>
      <c r="K40" s="37" cm="1">
        <f t="array" aca="1" ref="K40" ca="1">_xlfn.NUMBERVALUE(INDIRECT("'" &amp; B40 &amp; "'" &amp; "!s3"))</f>
        <v>29</v>
      </c>
      <c r="L40" s="58" cm="1">
        <f t="array" aca="1" ref="L40" ca="1">_xlfn.NUMBERVALUE(INDIRECT("'" &amp; B40 &amp; "'" &amp; "!t3"))/100000</f>
        <v>0.62068999999999996</v>
      </c>
      <c r="M40" s="41" cm="1">
        <f t="array" aca="1" ref="M40" ca="1">INDIRECT("'" &amp; B40 &amp; "'" &amp; "!AJ2")</f>
        <v>0</v>
      </c>
      <c r="R40" s="77">
        <v>0.52218500000000001</v>
      </c>
      <c r="S40" s="77">
        <v>0.53991800000000001</v>
      </c>
    </row>
    <row r="41" spans="2:19">
      <c r="B41" s="9" t="s">
        <v>14</v>
      </c>
      <c r="C41" s="7" t="str" cm="1">
        <f t="array" aca="1" ref="C41" ca="1">INDIRECT("'" &amp; B41 &amp; "'" &amp; "!E3")</f>
        <v>Lions</v>
      </c>
      <c r="D41" s="50" cm="1">
        <f t="array" aca="1" ref="D41" ca="1">_xlfn.NUMBERVALUE(INDIRECT("'" &amp; B41 &amp; "'" &amp; "!f3"))/1000</f>
        <v>270.60399999999998</v>
      </c>
      <c r="E41" s="25" cm="1">
        <f t="array" aca="1" ref="E41" ca="1">_xlfn.NUMBERVALUE(INDIRECT("'" &amp; B41 &amp; "'" &amp; "!H3"))/1000000</f>
        <v>0.62902800000000003</v>
      </c>
      <c r="F41" s="41" cm="1">
        <f t="array" aca="1" ref="F41" ca="1">_xlfn.NUMBERVALUE(INDIRECT("'" &amp; B41 &amp; "'" &amp; "!k3"))/1000</f>
        <v>3.0680000000000001</v>
      </c>
      <c r="G41" s="23" cm="1">
        <f t="array" aca="1" ref="G41" ca="1">_xlfn.NUMBERVALUE(INDIRECT("'" &amp; B41 &amp; "'" &amp; "!k3"))/100</f>
        <v>30.68</v>
      </c>
      <c r="H41" s="37" cm="1">
        <f t="array" aca="1" ref="H41" ca="1">_xlfn.NUMBERVALUE(INDIRECT("'" &amp; B41 &amp; "'" &amp; "!W3"))</f>
        <v>48</v>
      </c>
      <c r="I41" s="27" cm="1">
        <f t="array" aca="1" ref="I41" ca="1">_xlfn.NUMBERVALUE(INDIRECT("'" &amp; B41 &amp; "'" &amp; "!X3"))/1000</f>
        <v>13.779</v>
      </c>
      <c r="J41" s="56" cm="1">
        <f t="array" aca="1" ref="J41" ca="1">_xlfn.NUMBERVALUE(INDIRECT("'" &amp; B41 &amp; "'" &amp; "!y3"))/10000</f>
        <v>1.2397</v>
      </c>
      <c r="K41" s="37" cm="1">
        <f t="array" aca="1" ref="K41" ca="1">_xlfn.NUMBERVALUE(INDIRECT("'" &amp; B41 &amp; "'" &amp; "!s3"))</f>
        <v>36</v>
      </c>
      <c r="L41" s="58" cm="1">
        <f t="array" aca="1" ref="L41" ca="1">_xlfn.NUMBERVALUE(INDIRECT("'" &amp; B41 &amp; "'" &amp; "!t3"))/100000</f>
        <v>0.72221999999999997</v>
      </c>
      <c r="M41" s="41" cm="1">
        <f t="array" aca="1" ref="M41" ca="1">INDIRECT("'" &amp; B41 &amp; "'" &amp; "!AJ2")</f>
        <v>0</v>
      </c>
      <c r="R41" s="77">
        <v>0.53712599999999999</v>
      </c>
      <c r="S41" s="77">
        <v>0.48343900000000001</v>
      </c>
    </row>
    <row r="42" spans="2:19">
      <c r="B42" s="9" t="s">
        <v>13</v>
      </c>
      <c r="C42" s="7" t="str" cm="1">
        <f t="array" aca="1" ref="C42" ca="1">INDIRECT("'" &amp; B42 &amp; "'" &amp; "!E3")</f>
        <v>Lions</v>
      </c>
      <c r="D42" s="50" cm="1">
        <f t="array" aca="1" ref="D42" ca="1">_xlfn.NUMBERVALUE(INDIRECT("'" &amp; B42 &amp; "'" &amp; "!f3"))/1000</f>
        <v>270.60399999999998</v>
      </c>
      <c r="E42" s="25" cm="1">
        <f t="array" aca="1" ref="E42" ca="1">_xlfn.NUMBERVALUE(INDIRECT("'" &amp; B42 &amp; "'" &amp; "!H3"))/100000</f>
        <v>0.62192000000000003</v>
      </c>
      <c r="F42" s="41" cm="1">
        <f t="array" aca="1" ref="F42" ca="1">_xlfn.NUMBERVALUE(INDIRECT("'" &amp; B42 &amp; "'" &amp; "!k3"))/1000</f>
        <v>5.7789999999999999</v>
      </c>
      <c r="G42" s="23" cm="1">
        <f t="array" aca="1" ref="G42" ca="1">_xlfn.NUMBERVALUE(INDIRECT("'" &amp; B42 &amp; "'" &amp; "!k3"))/100</f>
        <v>57.79</v>
      </c>
      <c r="H42" s="37" cm="1">
        <f t="array" aca="1" ref="H42" ca="1">_xlfn.NUMBERVALUE(INDIRECT("'" &amp; B42 &amp; "'" &amp; "!W3"))</f>
        <v>2</v>
      </c>
      <c r="I42" s="27" cm="1">
        <f t="array" aca="1" ref="I42" ca="1">_xlfn.NUMBERVALUE(INDIRECT("'" &amp; B42 &amp; "'" &amp; "!X3"))/100</f>
        <v>4.04</v>
      </c>
      <c r="J42" s="56" cm="1">
        <f t="array" aca="1" ref="J42" ca="1">_xlfn.NUMBERVALUE(INDIRECT("'" &amp; B42 &amp; "'" &amp; "!y3"))/10000</f>
        <v>15.7073</v>
      </c>
      <c r="K42" s="37" cm="1">
        <f t="array" aca="1" ref="K42" ca="1">_xlfn.NUMBERVALUE(INDIRECT("'" &amp; B42 &amp; "'" &amp; "!s3"))</f>
        <v>22</v>
      </c>
      <c r="L42" s="58" cm="1">
        <f t="array" aca="1" ref="L42" ca="1">_xlfn.NUMBERVALUE(INDIRECT("'" &amp; B42 &amp; "'" &amp; "!t3"))/100</f>
        <v>0.5</v>
      </c>
      <c r="M42" s="41" cm="1">
        <f t="array" aca="1" ref="M42" ca="1">INDIRECT("'" &amp; B42 &amp; "'" &amp; "!AJ2")</f>
        <v>0</v>
      </c>
      <c r="R42" s="77">
        <v>0.34498600000000001</v>
      </c>
      <c r="S42" s="77">
        <v>0.51993</v>
      </c>
    </row>
    <row r="43" spans="2:19">
      <c r="B43" s="9" t="s">
        <v>12</v>
      </c>
      <c r="C43" s="7" t="str" cm="1">
        <f t="array" aca="1" ref="C43" ca="1">INDIRECT("'" &amp; B43 &amp; "'" &amp; "!E3")</f>
        <v>Lions</v>
      </c>
      <c r="D43" s="50" cm="1">
        <f t="array" aca="1" ref="D43" ca="1">_xlfn.NUMBERVALUE(INDIRECT("'" &amp; B43 &amp; "'" &amp; "!f3"))/1000</f>
        <v>270.60399999999998</v>
      </c>
      <c r="E43" s="25" cm="1">
        <f t="array" aca="1" ref="E43" ca="1">_xlfn.NUMBERVALUE(INDIRECT("'" &amp; B43 &amp; "'" &amp; "!H3"))/1000000</f>
        <v>0.57835700000000001</v>
      </c>
      <c r="F43" s="41" cm="1">
        <f t="array" aca="1" ref="F43" ca="1">_xlfn.NUMBERVALUE(INDIRECT("'" &amp; B43 &amp; "'" &amp; "!k3"))/1000</f>
        <v>3.0179999999999998</v>
      </c>
      <c r="G43" s="23" cm="1">
        <f t="array" aca="1" ref="G43" ca="1">_xlfn.NUMBERVALUE(INDIRECT("'" &amp; B43 &amp; "'" &amp; "!k3"))/100</f>
        <v>30.18</v>
      </c>
      <c r="H43" s="37" cm="1">
        <f t="array" aca="1" ref="H43" ca="1">_xlfn.NUMBERVALUE(INDIRECT("'" &amp; B43 &amp; "'" &amp; "!W3"))</f>
        <v>37</v>
      </c>
      <c r="I43" s="27" cm="1">
        <f t="array" aca="1" ref="I43" ca="1">_xlfn.NUMBERVALUE(INDIRECT("'" &amp; B43 &amp; "'" &amp; "!X3"))/1000</f>
        <v>9.9390000000000001</v>
      </c>
      <c r="J43" s="56" cm="1">
        <f t="array" aca="1" ref="J43" ca="1">_xlfn.NUMBERVALUE(INDIRECT("'" &amp; B43 &amp; "'" &amp; "!y3"))/10000</f>
        <v>1.2873000000000001</v>
      </c>
      <c r="K43" s="37" cm="1">
        <f t="array" aca="1" ref="K43" ca="1">_xlfn.NUMBERVALUE(INDIRECT("'" &amp; B43 &amp; "'" &amp; "!s3"))</f>
        <v>38</v>
      </c>
      <c r="L43" s="58" cm="1">
        <f t="array" aca="1" ref="L43" ca="1">_xlfn.NUMBERVALUE(INDIRECT("'" &amp; B43 &amp; "'" &amp; "!t3"))/100000</f>
        <v>0.71052999999999999</v>
      </c>
      <c r="M43" s="41" cm="1">
        <f t="array" aca="1" ref="M43" ca="1">INDIRECT("'" &amp; B43 &amp; "'" &amp; "!AJ2")</f>
        <v>0</v>
      </c>
      <c r="R43" s="77">
        <v>0.48045599999999999</v>
      </c>
      <c r="S43" s="77">
        <v>0.50554100000000002</v>
      </c>
    </row>
    <row r="44" spans="2:19">
      <c r="B44" s="9" t="s">
        <v>11</v>
      </c>
      <c r="C44" s="7" t="str" cm="1">
        <f t="array" aca="1" ref="C44" ca="1">INDIRECT("'" &amp; B44 &amp; "'" &amp; "!E3")</f>
        <v>Lions</v>
      </c>
      <c r="D44" s="50" cm="1">
        <f t="array" aca="1" ref="D44" ca="1">_xlfn.NUMBERVALUE(INDIRECT("'" &amp; B44 &amp; "'" &amp; "!f3"))/1000</f>
        <v>270.60399999999998</v>
      </c>
      <c r="E44" s="25" cm="1">
        <f t="array" aca="1" ref="E44" ca="1">_xlfn.NUMBERVALUE(INDIRECT("'" &amp; B44 &amp; "'" &amp; "!H3"))/1000000</f>
        <v>0.54728699999999997</v>
      </c>
      <c r="F44" s="41" cm="1">
        <f t="array" aca="1" ref="F44" ca="1">_xlfn.NUMBERVALUE(INDIRECT("'" &amp; B44 &amp; "'" &amp; "!k3"))/1000</f>
        <v>5.6319999999999997</v>
      </c>
      <c r="G44" s="23" cm="1">
        <f t="array" aca="1" ref="G44" ca="1">_xlfn.NUMBERVALUE(INDIRECT("'" &amp; B44 &amp; "'" &amp; "!k3"))/100</f>
        <v>56.32</v>
      </c>
      <c r="H44" s="37" cm="1">
        <f t="array" aca="1" ref="H44" ca="1">_xlfn.NUMBERVALUE(INDIRECT("'" &amp; B44 &amp; "'" &amp; "!W3"))</f>
        <v>14</v>
      </c>
      <c r="I44" s="27" cm="1">
        <f t="array" aca="1" ref="I44" ca="1">_xlfn.NUMBERVALUE(INDIRECT("'" &amp; B44 &amp; "'" &amp; "!X3"))/1000</f>
        <v>3.484</v>
      </c>
      <c r="J44" s="56" cm="1">
        <f t="array" aca="1" ref="J44" ca="1">_xlfn.NUMBERVALUE(INDIRECT("'" &amp; B44 &amp; "'" &amp; "!y3"))/10000</f>
        <v>8.5493000000000006</v>
      </c>
      <c r="K44" s="37" cm="1">
        <f t="array" aca="1" ref="K44" ca="1">_xlfn.NUMBERVALUE(INDIRECT("'" &amp; B44 &amp; "'" &amp; "!s3"))</f>
        <v>18</v>
      </c>
      <c r="L44" s="58" cm="1">
        <f t="array" aca="1" ref="L44" ca="1">_xlfn.NUMBERVALUE(INDIRECT("'" &amp; B44 &amp; "'" &amp; "!t3"))/100</f>
        <v>0.5</v>
      </c>
      <c r="M44" s="41" cm="1">
        <f t="array" aca="1" ref="M44" ca="1">INDIRECT("'" &amp; B44 &amp; "'" &amp; "!AJ2")</f>
        <v>0</v>
      </c>
      <c r="R44" s="77">
        <v>0.44001800000000002</v>
      </c>
      <c r="S44" s="77">
        <v>0.64999099999999999</v>
      </c>
    </row>
    <row r="45" spans="2:19">
      <c r="B45" s="9" t="s">
        <v>10</v>
      </c>
      <c r="C45" s="7" t="str" cm="1">
        <f t="array" aca="1" ref="C45" ca="1">INDIRECT("'" &amp; B45 &amp; "'" &amp; "!E3")</f>
        <v>Lions</v>
      </c>
      <c r="D45" s="50" cm="1">
        <f t="array" aca="1" ref="D45" ca="1">_xlfn.NUMBERVALUE(INDIRECT("'" &amp; B45 &amp; "'" &amp; "!f3"))/1000</f>
        <v>270.60399999999998</v>
      </c>
      <c r="E45" s="25" cm="1">
        <f t="array" aca="1" ref="E45" ca="1">_xlfn.NUMBERVALUE(INDIRECT("'" &amp; B45 &amp; "'" &amp; "!H3"))/1000000</f>
        <v>0.62026400000000004</v>
      </c>
      <c r="F45" s="41" cm="1">
        <f t="array" aca="1" ref="F45" ca="1">_xlfn.NUMBERVALUE(INDIRECT("'" &amp; B45 &amp; "'" &amp; "!k3"))/1000</f>
        <v>3.613</v>
      </c>
      <c r="G45" s="23" cm="1">
        <f t="array" aca="1" ref="G45" ca="1">_xlfn.NUMBERVALUE(INDIRECT("'" &amp; B45 &amp; "'" &amp; "!k3"))/100</f>
        <v>36.130000000000003</v>
      </c>
      <c r="H45" s="37" cm="1">
        <f t="array" aca="1" ref="H45" ca="1">_xlfn.NUMBERVALUE(INDIRECT("'" &amp; B45 &amp; "'" &amp; "!W3"))</f>
        <v>22</v>
      </c>
      <c r="I45" s="27" cm="1">
        <f t="array" aca="1" ref="I45" ca="1">_xlfn.NUMBERVALUE(INDIRECT("'" &amp; B45 &amp; "'" &amp; "!X3"))/1000</f>
        <v>4.4939999999999998</v>
      </c>
      <c r="J45" s="56" cm="1">
        <f t="array" aca="1" ref="J45" ca="1">_xlfn.NUMBERVALUE(INDIRECT("'" &amp; B45 &amp; "'" &amp; "!y3"))/10000</f>
        <v>20.440300000000001</v>
      </c>
      <c r="K45" s="37" cm="1">
        <f t="array" aca="1" ref="K45" ca="1">_xlfn.NUMBERVALUE(INDIRECT("'" &amp; B45 &amp; "'" &amp; "!s3"))</f>
        <v>30</v>
      </c>
      <c r="L45" s="58" cm="1">
        <f t="array" aca="1" ref="L45" ca="1">_xlfn.NUMBERVALUE(INDIRECT("'" &amp; B45 &amp; "'" &amp; "!t3"))/100000</f>
        <v>0.53332999999999997</v>
      </c>
      <c r="M45" s="41" cm="1">
        <f t="array" aca="1" ref="M45" ca="1">INDIRECT("'" &amp; B45 &amp; "'" &amp; "!AJ2")</f>
        <v>0</v>
      </c>
      <c r="R45" s="77">
        <v>0.43589899999999998</v>
      </c>
      <c r="S45" s="77">
        <v>0.53627800000000003</v>
      </c>
    </row>
    <row r="46" spans="2:19">
      <c r="B46" s="9" t="s">
        <v>9</v>
      </c>
      <c r="C46" s="7" t="str" cm="1">
        <f t="array" aca="1" ref="C46" ca="1">INDIRECT("'" &amp; B46 &amp; "'" &amp; "!E3")</f>
        <v>Lions</v>
      </c>
      <c r="D46" s="50" cm="1">
        <f t="array" aca="1" ref="D46" ca="1">_xlfn.NUMBERVALUE(INDIRECT("'" &amp; B46 &amp; "'" &amp; "!f3"))/1000</f>
        <v>270.60399999999998</v>
      </c>
      <c r="E46" s="25" cm="1">
        <f t="array" aca="1" ref="E46" ca="1">_xlfn.NUMBERVALUE(INDIRECT("'" &amp; B46 &amp; "'" &amp; "!H3"))/1000000</f>
        <v>0.50348599999999999</v>
      </c>
      <c r="F46" s="41" cm="1">
        <f t="array" aca="1" ref="F46" ca="1">_xlfn.NUMBERVALUE(INDIRECT("'" &amp; B46 &amp; "'" &amp; "!k3"))/1000</f>
        <v>4.3890000000000002</v>
      </c>
      <c r="G46" s="23" cm="1">
        <f t="array" aca="1" ref="G46" ca="1">_xlfn.NUMBERVALUE(INDIRECT("'" &amp; B46 &amp; "'" &amp; "!k3"))/100</f>
        <v>43.89</v>
      </c>
      <c r="H46" s="37" cm="1">
        <f t="array" aca="1" ref="H46" ca="1">_xlfn.NUMBERVALUE(INDIRECT("'" &amp; B46 &amp; "'" &amp; "!W3"))</f>
        <v>11</v>
      </c>
      <c r="I46" s="27" cm="1">
        <f t="array" aca="1" ref="I46" ca="1">_xlfn.NUMBERVALUE(INDIRECT("'" &amp; B46 &amp; "'" &amp; "!X3"))/1000</f>
        <v>2.2410000000000001</v>
      </c>
      <c r="J46" s="56" cm="1">
        <f t="array" aca="1" ref="J46" ca="1">_xlfn.NUMBERVALUE(INDIRECT("'" &amp; B46 &amp; "'" &amp; "!y3"))/10000</f>
        <v>7.7788000000000004</v>
      </c>
      <c r="K46" s="37" cm="1">
        <f t="array" aca="1" ref="K46" ca="1">_xlfn.NUMBERVALUE(INDIRECT("'" &amp; B46 &amp; "'" &amp; "!s3"))</f>
        <v>22</v>
      </c>
      <c r="L46" s="58" cm="1">
        <f t="array" aca="1" ref="L46" ca="1">_xlfn.NUMBERVALUE(INDIRECT("'" &amp; B46 &amp; "'" &amp; "!t3"))/100000</f>
        <v>0.68181999999999998</v>
      </c>
      <c r="M46" s="41" cm="1">
        <f t="array" aca="1" ref="M46" ca="1">INDIRECT("'" &amp; B46 &amp; "'" &amp; "!AJ2")</f>
        <v>0</v>
      </c>
      <c r="R46" s="77">
        <v>0.44051099999999999</v>
      </c>
      <c r="S46" s="77">
        <v>0.58832300000000004</v>
      </c>
    </row>
    <row r="47" spans="2:19">
      <c r="B47" s="9" t="s">
        <v>8</v>
      </c>
      <c r="C47" s="7" t="str" cm="1">
        <f t="array" aca="1" ref="C47" ca="1">INDIRECT("'" &amp; B47 &amp; "'" &amp; "!E3")</f>
        <v>Lions</v>
      </c>
      <c r="D47" s="50" cm="1">
        <f t="array" aca="1" ref="D47" ca="1">_xlfn.NUMBERVALUE(INDIRECT("'" &amp; B47 &amp; "'" &amp; "!f3"))/1000</f>
        <v>270.60399999999998</v>
      </c>
      <c r="E47" s="25" cm="1">
        <f t="array" aca="1" ref="E47" ca="1">_xlfn.NUMBERVALUE(INDIRECT("'" &amp; B47 &amp; "'" &amp; "!H3"))/1000000</f>
        <v>0.53647699999999998</v>
      </c>
      <c r="F47" s="41" cm="1">
        <f t="array" aca="1" ref="F47" ca="1">_xlfn.NUMBERVALUE(INDIRECT("'" &amp; B47 &amp; "'" &amp; "!k3"))/100</f>
        <v>3.51</v>
      </c>
      <c r="G47" s="23" cm="1">
        <f t="array" aca="1" ref="G47" ca="1">_xlfn.NUMBERVALUE(INDIRECT("'" &amp; B47 &amp; "'" &amp; "!k3"))/10</f>
        <v>35.1</v>
      </c>
      <c r="H47" s="37" cm="1">
        <f t="array" aca="1" ref="H47" ca="1">_xlfn.NUMBERVALUE(INDIRECT("'" &amp; B47 &amp; "'" &amp; "!W3"))</f>
        <v>19</v>
      </c>
      <c r="I47" s="27" cm="1">
        <f t="array" aca="1" ref="I47" ca="1">_xlfn.NUMBERVALUE(INDIRECT("'" &amp; B47 &amp; "'" &amp; "!X3"))/1000</f>
        <v>4.0490000000000004</v>
      </c>
      <c r="J47" s="56" cm="1">
        <f t="array" aca="1" ref="J47" ca="1">_xlfn.NUMBERVALUE(INDIRECT("'" &amp; B47 &amp; "'" &amp; "!y3"))/10000</f>
        <v>10.186400000000001</v>
      </c>
      <c r="K47" s="37" cm="1">
        <f t="array" aca="1" ref="K47" ca="1">_xlfn.NUMBERVALUE(INDIRECT("'" &amp; B47 &amp; "'" &amp; "!s3"))</f>
        <v>25</v>
      </c>
      <c r="L47" s="58" cm="1">
        <f t="array" aca="1" ref="L47" ca="1">_xlfn.NUMBERVALUE(INDIRECT("'" &amp; B47 &amp; "'" &amp; "!t3"))/100</f>
        <v>0.64</v>
      </c>
      <c r="M47" s="41" cm="1">
        <f t="array" aca="1" ref="M47" ca="1">INDIRECT("'" &amp; B47 &amp; "'" &amp; "!AJ2")</f>
        <v>0</v>
      </c>
    </row>
    <row r="48" spans="2:19">
      <c r="B48" s="9" t="s">
        <v>7</v>
      </c>
      <c r="C48" s="7" t="str" cm="1">
        <f t="array" aca="1" ref="C48" ca="1">INDIRECT("'" &amp; B48 &amp; "'" &amp; "!E3")</f>
        <v>Lions</v>
      </c>
      <c r="D48" s="50" cm="1">
        <f t="array" aca="1" ref="D48" ca="1">_xlfn.NUMBERVALUE(INDIRECT("'" &amp; B48 &amp; "'" &amp; "!f3"))/1000</f>
        <v>270.60399999999998</v>
      </c>
      <c r="E48" s="25" cm="1">
        <f t="array" aca="1" ref="E48" ca="1">_xlfn.NUMBERVALUE(INDIRECT("'" &amp; B48 &amp; "'" &amp; "!H3"))/1000000</f>
        <v>0.62910900000000003</v>
      </c>
      <c r="F48" s="41" cm="1">
        <f t="array" aca="1" ref="F48" ca="1">_xlfn.NUMBERVALUE(INDIRECT("'" &amp; B48 &amp; "'" &amp; "!k3"))/100</f>
        <v>4.3600000000000003</v>
      </c>
      <c r="G48" s="23" cm="1">
        <f t="array" aca="1" ref="G48" ca="1">_xlfn.NUMBERVALUE(INDIRECT("'" &amp; B48 &amp; "'" &amp; "!k3"))/10</f>
        <v>43.6</v>
      </c>
      <c r="H48" s="37" cm="1">
        <f t="array" aca="1" ref="H48" ca="1">_xlfn.NUMBERVALUE(INDIRECT("'" &amp; B48 &amp; "'" &amp; "!W3"))</f>
        <v>24</v>
      </c>
      <c r="I48" s="27" cm="1">
        <f t="array" aca="1" ref="I48" ca="1">_xlfn.NUMBERVALUE(INDIRECT("'" &amp; B48 &amp; "'" &amp; "!X3"))/1000</f>
        <v>6.6740000000000004</v>
      </c>
      <c r="J48" s="56" cm="1">
        <f t="array" aca="1" ref="J48" ca="1">_xlfn.NUMBERVALUE(INDIRECT("'" &amp; B48 &amp; "'" &amp; "!y3"))/10000</f>
        <v>10.6579</v>
      </c>
      <c r="K48" s="37" cm="1">
        <f t="array" aca="1" ref="K48" ca="1">_xlfn.NUMBERVALUE(INDIRECT("'" &amp; B48 &amp; "'" &amp; "!s3"))</f>
        <v>32</v>
      </c>
      <c r="L48" s="58" cm="1">
        <f t="array" aca="1" ref="L48" ca="1">_xlfn.NUMBERVALUE(INDIRECT("'" &amp; B48 &amp; "'" &amp; "!t3"))/100000</f>
        <v>0.46875</v>
      </c>
      <c r="M48" s="41" cm="1">
        <f t="array" aca="1" ref="M48" ca="1">INDIRECT("'" &amp; B48 &amp; "'" &amp; "!AJ2")</f>
        <v>0</v>
      </c>
    </row>
    <row r="49" spans="2:27">
      <c r="B49" s="9" t="s">
        <v>6</v>
      </c>
      <c r="C49" s="7" t="str" cm="1">
        <f t="array" aca="1" ref="C49" ca="1">INDIRECT("'" &amp; B49 &amp; "'" &amp; "!E3")</f>
        <v>Lions</v>
      </c>
      <c r="D49" s="50" cm="1">
        <f t="array" aca="1" ref="D49" ca="1">_xlfn.NUMBERVALUE(INDIRECT("'" &amp; B49 &amp; "'" &amp; "!f3"))/1000</f>
        <v>270.60399999999998</v>
      </c>
      <c r="E49" s="25" cm="1">
        <f t="array" aca="1" ref="E49" ca="1">_xlfn.NUMBERVALUE(INDIRECT("'" &amp; B49 &amp; "'" &amp; "!H3"))/1000000</f>
        <v>0.53991800000000001</v>
      </c>
      <c r="F49" s="41" cm="1">
        <f t="array" aca="1" ref="F49" ca="1">_xlfn.NUMBERVALUE(INDIRECT("'" &amp; B49 &amp; "'" &amp; "!k3"))/1000</f>
        <v>6.8979999999999997</v>
      </c>
      <c r="G49" s="23" cm="1">
        <f t="array" aca="1" ref="G49" ca="1">_xlfn.NUMBERVALUE(INDIRECT("'" &amp; B49 &amp; "'" &amp; "!k3"))/100</f>
        <v>68.98</v>
      </c>
      <c r="H49" s="37" cm="1">
        <f t="array" aca="1" ref="H49" ca="1">_xlfn.NUMBERVALUE(INDIRECT("'" &amp; B49 &amp; "'" &amp; "!W3"))</f>
        <v>2</v>
      </c>
      <c r="I49" s="27" cm="1">
        <f t="array" aca="1" ref="I49" ca="1">_xlfn.NUMBERVALUE(INDIRECT("'" &amp; B49 &amp; "'" &amp; "!X3"))/100</f>
        <v>4.46</v>
      </c>
      <c r="J49" s="56" cm="1">
        <f t="array" aca="1" ref="J49" ca="1">_xlfn.NUMBERVALUE(INDIRECT("'" &amp; B49 &amp; "'" &amp; "!y3"))/10000</f>
        <v>12.9133</v>
      </c>
      <c r="K49" s="37" cm="1">
        <f t="array" aca="1" ref="K49" ca="1">_xlfn.NUMBERVALUE(INDIRECT("'" &amp; B49 &amp; "'" &amp; "!s3"))</f>
        <v>16</v>
      </c>
      <c r="L49" s="58" cm="1">
        <f t="array" aca="1" ref="L49" ca="1">_xlfn.NUMBERVALUE(INDIRECT("'" &amp; B49 &amp; "'" &amp; "!t3"))/1000</f>
        <v>0.375</v>
      </c>
      <c r="M49" s="41" cm="1">
        <f t="array" aca="1" ref="M49" ca="1">INDIRECT("'" &amp; B49 &amp; "'" &amp; "!AJ2")</f>
        <v>0</v>
      </c>
    </row>
    <row r="50" spans="2:27">
      <c r="B50" s="9" t="s">
        <v>5</v>
      </c>
      <c r="C50" s="7" t="str" cm="1">
        <f t="array" aca="1" ref="C50" ca="1">INDIRECT("'" &amp; B50 &amp; "'" &amp; "!E3")</f>
        <v>Elephants</v>
      </c>
      <c r="D50" s="50" cm="1">
        <f t="array" aca="1" ref="D50" ca="1">_xlfn.NUMBERVALUE(INDIRECT("'" &amp; B50 &amp; "'" &amp; "!f3"))/100</f>
        <v>240.24</v>
      </c>
      <c r="E50" s="25" cm="1">
        <f t="array" aca="1" ref="E50" ca="1">_xlfn.NUMBERVALUE(INDIRECT("'" &amp; B50 &amp; "'" &amp; "!H3"))/1000000</f>
        <v>0.48343900000000001</v>
      </c>
      <c r="F50" s="41" cm="1">
        <f t="array" aca="1" ref="F50" ca="1">_xlfn.NUMBERVALUE(INDIRECT("'" &amp; B50 &amp; "'" &amp; "!k3"))/1000</f>
        <v>3.7440000000000002</v>
      </c>
      <c r="G50" s="23" cm="1">
        <f t="array" aca="1" ref="G50" ca="1">_xlfn.NUMBERVALUE(INDIRECT("'" &amp; B50 &amp; "'" &amp; "!k3"))/100</f>
        <v>37.44</v>
      </c>
      <c r="H50" s="37" cm="1">
        <f t="array" aca="1" ref="H50" ca="1">_xlfn.NUMBERVALUE(INDIRECT("'" &amp; B50 &amp; "'" &amp; "!W3"))</f>
        <v>26</v>
      </c>
      <c r="I50" s="27" cm="1">
        <f t="array" aca="1" ref="I50" ca="1">_xlfn.NUMBERVALUE(INDIRECT("'" &amp; B50 &amp; "'" &amp; "!X3"))/1000</f>
        <v>7.8559999999999999</v>
      </c>
      <c r="J50" s="56" cm="1">
        <f t="array" aca="1" ref="J50" ca="1">_xlfn.NUMBERVALUE(INDIRECT("'" &amp; B50 &amp; "'" &amp; "!y3"))/10000</f>
        <v>6.0662000000000003</v>
      </c>
      <c r="K50" s="37" cm="1">
        <f t="array" aca="1" ref="K50" ca="1">_xlfn.NUMBERVALUE(INDIRECT("'" &amp; B50 &amp; "'" &amp; "!s3"))</f>
        <v>27</v>
      </c>
      <c r="L50" s="58" cm="1">
        <f t="array" aca="1" ref="L50" ca="1">_xlfn.NUMBERVALUE(INDIRECT("'" &amp; B50 &amp; "'" &amp; "!t3"))/100000</f>
        <v>0.55556000000000005</v>
      </c>
      <c r="M50" s="41" cm="1">
        <f t="array" aca="1" ref="M50" ca="1">INDIRECT("'" &amp; B50 &amp; "'" &amp; "!AJ2")</f>
        <v>0</v>
      </c>
    </row>
    <row r="51" spans="2:27">
      <c r="B51" s="9" t="s">
        <v>4</v>
      </c>
      <c r="C51" s="7" t="str" cm="1">
        <f t="array" aca="1" ref="C51" ca="1">INDIRECT("'" &amp; B51 &amp; "'" &amp; "!E3")</f>
        <v>Elephants</v>
      </c>
      <c r="D51" s="50" cm="1">
        <f t="array" aca="1" ref="D51" ca="1">_xlfn.NUMBERVALUE(INDIRECT("'" &amp; B51 &amp; "'" &amp; "!f3"))/100</f>
        <v>240.24</v>
      </c>
      <c r="E51" s="25" cm="1">
        <f t="array" aca="1" ref="E51" ca="1">_xlfn.NUMBERVALUE(INDIRECT("'" &amp; B51 &amp; "'" &amp; "!H3"))/100000</f>
        <v>0.51993</v>
      </c>
      <c r="F51" s="41" cm="1">
        <f t="array" aca="1" ref="F51" ca="1">_xlfn.NUMBERVALUE(INDIRECT("'" &amp; B51 &amp; "'" &amp; "!k3"))/1000</f>
        <v>2.677</v>
      </c>
      <c r="G51" s="23" cm="1">
        <f t="array" aca="1" ref="G51" ca="1">_xlfn.NUMBERVALUE(INDIRECT("'" &amp; B51 &amp; "'" &amp; "!k3"))/100</f>
        <v>26.77</v>
      </c>
      <c r="H51" s="37" cm="1">
        <f t="array" aca="1" ref="H51" ca="1">_xlfn.NUMBERVALUE(INDIRECT("'" &amp; B51 &amp; "'" &amp; "!W3"))</f>
        <v>15</v>
      </c>
      <c r="I51" s="27" cm="1">
        <f t="array" aca="1" ref="I51" ca="1">_xlfn.NUMBERVALUE(INDIRECT("'" &amp; B51 &amp; "'" &amp; "!X3"))/100</f>
        <v>4.05</v>
      </c>
      <c r="J51" s="56" cm="1">
        <f t="array" aca="1" ref="J51" ca="1">_xlfn.NUMBERVALUE(INDIRECT("'" &amp; B51 &amp; "'" &amp; "!y3"))/10000</f>
        <v>11.483499999999999</v>
      </c>
      <c r="K51" s="37" cm="1">
        <f t="array" aca="1" ref="K51" ca="1">_xlfn.NUMBERVALUE(INDIRECT("'" &amp; B51 &amp; "'" &amp; "!s3"))</f>
        <v>35</v>
      </c>
      <c r="L51" s="58" cm="1">
        <f t="array" aca="1" ref="L51" ca="1">_xlfn.NUMBERVALUE(INDIRECT("'" &amp; B51 &amp; "'" &amp; "!t3"))/100000</f>
        <v>0.74285999999999996</v>
      </c>
      <c r="M51" s="41" cm="1">
        <f t="array" aca="1" ref="M51" ca="1">INDIRECT("'" &amp; B51 &amp; "'" &amp; "!AJ2")</f>
        <v>0</v>
      </c>
    </row>
    <row r="52" spans="2:27">
      <c r="B52" s="9" t="s">
        <v>3</v>
      </c>
      <c r="C52" s="7" t="str" cm="1">
        <f t="array" aca="1" ref="C52" ca="1">INDIRECT("'" &amp; B52 &amp; "'" &amp; "!E3")</f>
        <v>Elephants</v>
      </c>
      <c r="D52" s="50" cm="1">
        <f t="array" aca="1" ref="D52" ca="1">_xlfn.NUMBERVALUE(INDIRECT("'" &amp; B52 &amp; "'" &amp; "!f3"))/100</f>
        <v>240.24</v>
      </c>
      <c r="E52" s="25" cm="1">
        <f t="array" aca="1" ref="E52" ca="1">_xlfn.NUMBERVALUE(INDIRECT("'" &amp; B52 &amp; "'" &amp; "!H3"))/1000000</f>
        <v>0.50554100000000002</v>
      </c>
      <c r="F52" s="41" cm="1">
        <f t="array" aca="1" ref="F52" ca="1">_xlfn.NUMBERVALUE(INDIRECT("'" &amp; B52 &amp; "'" &amp; "!k3"))/1000</f>
        <v>2.7120000000000002</v>
      </c>
      <c r="G52" s="23" cm="1">
        <f t="array" aca="1" ref="G52" ca="1">_xlfn.NUMBERVALUE(INDIRECT("'" &amp; B52 &amp; "'" &amp; "!k3"))/100</f>
        <v>27.12</v>
      </c>
      <c r="H52" s="37" cm="1">
        <f t="array" aca="1" ref="H52" ca="1">_xlfn.NUMBERVALUE(INDIRECT("'" &amp; B52 &amp; "'" &amp; "!W3"))</f>
        <v>35</v>
      </c>
      <c r="I52" s="27" cm="1">
        <f t="array" aca="1" ref="I52" ca="1">_xlfn.NUMBERVALUE(INDIRECT("'" &amp; B52 &amp; "'" &amp; "!X3"))/1000</f>
        <v>9.0210000000000008</v>
      </c>
      <c r="J52" s="56" cm="1">
        <f t="array" aca="1" ref="J52" ca="1">_xlfn.NUMBERVALUE(INDIRECT("'" &amp; B52 &amp; "'" &amp; "!y3"))/10000</f>
        <v>13.2652</v>
      </c>
      <c r="K52" s="37" cm="1">
        <f t="array" aca="1" ref="K52" ca="1">_xlfn.NUMBERVALUE(INDIRECT("'" &amp; B52 &amp; "'" &amp; "!s3"))</f>
        <v>35</v>
      </c>
      <c r="L52" s="58" cm="1">
        <f t="array" aca="1" ref="L52" ca="1">_xlfn.NUMBERVALUE(INDIRECT("'" &amp; B52 &amp; "'" &amp; "!t3"))/100000</f>
        <v>0.68571000000000004</v>
      </c>
      <c r="M52" s="41" cm="1">
        <f t="array" aca="1" ref="M52" ca="1">INDIRECT("'" &amp; B52 &amp; "'" &amp; "!AJ2")</f>
        <v>0</v>
      </c>
    </row>
    <row r="53" spans="2:27">
      <c r="B53" s="9" t="s">
        <v>2</v>
      </c>
      <c r="C53" s="7" t="str" cm="1">
        <f t="array" aca="1" ref="C53" ca="1">INDIRECT("'" &amp; B53 &amp; "'" &amp; "!E3")</f>
        <v>Elephants</v>
      </c>
      <c r="D53" s="50" cm="1">
        <f t="array" aca="1" ref="D53" ca="1">_xlfn.NUMBERVALUE(INDIRECT("'" &amp; B53 &amp; "'" &amp; "!f3"))/100</f>
        <v>240.24</v>
      </c>
      <c r="E53" s="25" cm="1">
        <f t="array" aca="1" ref="E53" ca="1">_xlfn.NUMBERVALUE(INDIRECT("'" &amp; B53 &amp; "'" &amp; "!H3"))/1000000</f>
        <v>0.64999099999999999</v>
      </c>
      <c r="F53" s="41" cm="1">
        <f t="array" aca="1" ref="F53" ca="1">_xlfn.NUMBERVALUE(INDIRECT("'" &amp; B53 &amp; "'" &amp; "!k3"))/1000</f>
        <v>7.4080000000000004</v>
      </c>
      <c r="G53" s="23" cm="1">
        <f t="array" aca="1" ref="G53" ca="1">_xlfn.NUMBERVALUE(INDIRECT("'" &amp; B53 &amp; "'" &amp; "!k3"))/100</f>
        <v>74.08</v>
      </c>
      <c r="H53" s="37" cm="1">
        <f t="array" aca="1" ref="H53" ca="1">_xlfn.NUMBERVALUE(INDIRECT("'" &amp; B53 &amp; "'" &amp; "!W3"))</f>
        <v>22</v>
      </c>
      <c r="I53" s="27" cm="1">
        <f t="array" aca="1" ref="I53" ca="1">_xlfn.NUMBERVALUE(INDIRECT("'" &amp; B53 &amp; "'" &amp; "!X3"))/1000</f>
        <v>5.984</v>
      </c>
      <c r="J53" s="56" cm="1">
        <f t="array" aca="1" ref="J53" ca="1">_xlfn.NUMBERVALUE(INDIRECT("'" &amp; B53 &amp; "'" &amp; "!y3"))/10000</f>
        <v>9.2429000000000006</v>
      </c>
      <c r="K53" s="37" cm="1">
        <f t="array" aca="1" ref="K53" ca="1">_xlfn.NUMBERVALUE(INDIRECT("'" &amp; B53 &amp; "'" &amp; "!s3"))</f>
        <v>17</v>
      </c>
      <c r="L53" s="58" cm="1">
        <f t="array" aca="1" ref="L53" ca="1">_xlfn.NUMBERVALUE(INDIRECT("'" &amp; B53 &amp; "'" &amp; "!t3"))/100000</f>
        <v>0.17646999999999999</v>
      </c>
      <c r="M53" s="41" cm="1">
        <f t="array" aca="1" ref="M53" ca="1">INDIRECT("'" &amp; B53 &amp; "'" &amp; "!AJ2")</f>
        <v>0</v>
      </c>
    </row>
    <row r="54" spans="2:27">
      <c r="B54" s="9" t="s">
        <v>1</v>
      </c>
      <c r="C54" s="7" t="str" cm="1">
        <f t="array" aca="1" ref="C54" ca="1">INDIRECT("'" &amp; B54 &amp; "'" &amp; "!E3")</f>
        <v>Elephants</v>
      </c>
      <c r="D54" s="50" cm="1">
        <f t="array" aca="1" ref="D54" ca="1">_xlfn.NUMBERVALUE(INDIRECT("'" &amp; B54 &amp; "'" &amp; "!f3"))/100</f>
        <v>240.24</v>
      </c>
      <c r="E54" s="25" cm="1">
        <f t="array" aca="1" ref="E54" ca="1">_xlfn.NUMBERVALUE(INDIRECT("'" &amp; B54 &amp; "'" &amp; "!H3"))/1000000</f>
        <v>0.53627800000000003</v>
      </c>
      <c r="F54" s="41" cm="1">
        <f t="array" aca="1" ref="F54" ca="1">_xlfn.NUMBERVALUE(INDIRECT("'" &amp; B54 &amp; "'" &amp; "!k3"))/1000</f>
        <v>3.5859999999999999</v>
      </c>
      <c r="G54" s="23" cm="1">
        <f t="array" aca="1" ref="G54" ca="1">_xlfn.NUMBERVALUE(INDIRECT("'" &amp; B54 &amp; "'" &amp; "!k3"))/100</f>
        <v>35.86</v>
      </c>
      <c r="H54" s="37" cm="1">
        <f t="array" aca="1" ref="H54" ca="1">_xlfn.NUMBERVALUE(INDIRECT("'" &amp; B54 &amp; "'" &amp; "!W3"))</f>
        <v>25</v>
      </c>
      <c r="I54" s="27" cm="1">
        <f t="array" aca="1" ref="I54" ca="1">_xlfn.NUMBERVALUE(INDIRECT("'" &amp; B54 &amp; "'" &amp; "!X3"))/1000</f>
        <v>8.4629999999999992</v>
      </c>
      <c r="J54" s="56" cm="1">
        <f t="array" aca="1" ref="J54" ca="1">_xlfn.NUMBERVALUE(INDIRECT("'" &amp; B54 &amp; "'" &amp; "!y3"))/10000</f>
        <v>2.8767999999999998</v>
      </c>
      <c r="K54" s="37" cm="1">
        <f t="array" aca="1" ref="K54" ca="1">_xlfn.NUMBERVALUE(INDIRECT("'" &amp; B54 &amp; "'" &amp; "!s3"))</f>
        <v>33</v>
      </c>
      <c r="L54" s="58" cm="1">
        <f t="array" aca="1" ref="L54" ca="1">_xlfn.NUMBERVALUE(INDIRECT("'" &amp; B54 &amp; "'" &amp; "!t3"))/100000</f>
        <v>0.54544999999999999</v>
      </c>
      <c r="M54" s="41" cm="1">
        <f t="array" aca="1" ref="M54" ca="1">INDIRECT("'" &amp; B54 &amp; "'" &amp; "!AJ2")</f>
        <v>0</v>
      </c>
    </row>
    <row r="55" spans="2:27">
      <c r="B55" s="6" t="s">
        <v>0</v>
      </c>
      <c r="C55" s="3" t="str" cm="1">
        <f t="array" aca="1" ref="C55" ca="1">INDIRECT("'" &amp; B55 &amp; "'" &amp; "!E3")</f>
        <v>Elephants</v>
      </c>
      <c r="D55" s="51" cm="1">
        <f t="array" aca="1" ref="D55" ca="1">_xlfn.NUMBERVALUE(INDIRECT("'" &amp; B55 &amp; "'" &amp; "!f3"))/100</f>
        <v>240.24</v>
      </c>
      <c r="E55" s="26" cm="1">
        <f t="array" aca="1" ref="E55" ca="1">_xlfn.NUMBERVALUE(INDIRECT("'" &amp; B55 &amp; "'" &amp; "!H3"))/1000000</f>
        <v>0.58832300000000004</v>
      </c>
      <c r="F55" s="42" cm="1">
        <f t="array" aca="1" ref="F55" ca="1">_xlfn.NUMBERVALUE(INDIRECT("'" &amp; B55 &amp; "'" &amp; "!k3"))/1000</f>
        <v>4.899</v>
      </c>
      <c r="G55" s="57" cm="1">
        <f t="array" aca="1" ref="G55" ca="1">_xlfn.NUMBERVALUE(INDIRECT("'" &amp; B55 &amp; "'" &amp; "!k3"))/100</f>
        <v>48.99</v>
      </c>
      <c r="H55" s="38" cm="1">
        <f t="array" aca="1" ref="H55" ca="1">_xlfn.NUMBERVALUE(INDIRECT("'" &amp; B55 &amp; "'" &amp; "!W3"))</f>
        <v>9</v>
      </c>
      <c r="I55" s="31" cm="1">
        <f t="array" aca="1" ref="I55" ca="1">_xlfn.NUMBERVALUE(INDIRECT("'" &amp; B55 &amp; "'" &amp; "!X3"))/1000</f>
        <v>2.4390000000000001</v>
      </c>
      <c r="J55" s="39" cm="1">
        <f t="array" aca="1" ref="J55" ca="1">_xlfn.NUMBERVALUE(INDIRECT("'" &amp; B55 &amp; "'" &amp; "!y3"))/1000</f>
        <v>4.3440000000000003</v>
      </c>
      <c r="K55" s="38" cm="1">
        <f t="array" aca="1" ref="K55" ca="1">_xlfn.NUMBERVALUE(INDIRECT("'" &amp; B55 &amp; "'" &amp; "!s3"))</f>
        <v>27</v>
      </c>
      <c r="L55" s="59" cm="1">
        <f t="array" aca="1" ref="L55" ca="1">_xlfn.NUMBERVALUE(INDIRECT("'" &amp; B55 &amp; "'" &amp; "!t3"))/100000</f>
        <v>0.55556000000000005</v>
      </c>
      <c r="M55" s="42" cm="1">
        <f t="array" aca="1" ref="M55" ca="1">INDIRECT("'" &amp; B55 &amp; "'" &amp; "!AJ2")</f>
        <v>0</v>
      </c>
    </row>
    <row r="56" spans="2:27">
      <c r="B56" s="1"/>
      <c r="C56" s="1"/>
      <c r="D56" s="1"/>
    </row>
    <row r="57" spans="2:27">
      <c r="B57" s="1"/>
      <c r="C57" s="1"/>
      <c r="D57" s="1"/>
    </row>
    <row r="58" spans="2:27">
      <c r="B58" s="74" t="s">
        <v>281</v>
      </c>
      <c r="C58" s="20" t="s">
        <v>371</v>
      </c>
      <c r="D58" s="20"/>
      <c r="E58" s="20" t="s">
        <v>391</v>
      </c>
      <c r="F58" s="20"/>
      <c r="G58" s="20"/>
      <c r="H58" s="75" t="s">
        <v>371</v>
      </c>
      <c r="I58" s="20"/>
      <c r="J58" s="20" t="s">
        <v>391</v>
      </c>
      <c r="K58" s="20"/>
      <c r="L58" s="20"/>
      <c r="M58" s="20" t="s">
        <v>398</v>
      </c>
      <c r="N58" s="20"/>
      <c r="O58" s="20"/>
      <c r="P58" s="20"/>
      <c r="Q58" s="20"/>
      <c r="R58" s="20"/>
      <c r="S58" s="20"/>
      <c r="T58" s="20"/>
      <c r="U58" s="20"/>
      <c r="V58" s="20"/>
      <c r="W58" s="20" t="s">
        <v>419</v>
      </c>
      <c r="X58" s="20"/>
      <c r="Y58" s="20"/>
      <c r="Z58" s="20"/>
      <c r="AA58" s="13"/>
    </row>
    <row r="59" spans="2:27">
      <c r="B59" s="76"/>
      <c r="H59" s="1"/>
      <c r="AA59" s="8"/>
    </row>
    <row r="60" spans="2:27" ht="15" thickBot="1">
      <c r="B60" s="76"/>
      <c r="C60" s="61"/>
      <c r="D60" s="61" t="s">
        <v>372</v>
      </c>
      <c r="E60" s="61"/>
      <c r="F60" s="61" t="s">
        <v>372</v>
      </c>
      <c r="H60" s="60"/>
      <c r="I60" s="61" t="s">
        <v>372</v>
      </c>
      <c r="J60" s="61"/>
      <c r="K60" s="61" t="s">
        <v>372</v>
      </c>
      <c r="M60" t="s">
        <v>399</v>
      </c>
      <c r="P60" t="s">
        <v>400</v>
      </c>
      <c r="Q60">
        <v>0.05</v>
      </c>
      <c r="S60" t="s">
        <v>401</v>
      </c>
      <c r="T60">
        <v>0</v>
      </c>
      <c r="X60" t="s">
        <v>420</v>
      </c>
      <c r="Y60" t="s">
        <v>421</v>
      </c>
      <c r="AA60" s="8"/>
    </row>
    <row r="61" spans="2:27" ht="15" thickTop="1">
      <c r="B61" s="76"/>
      <c r="C61" t="s">
        <v>373</v>
      </c>
      <c r="D61" s="77">
        <f ca="1">AVERAGE(E8:E28)</f>
        <v>0.45824047619047625</v>
      </c>
      <c r="E61" t="s">
        <v>392</v>
      </c>
      <c r="F61">
        <f ca="1">[1]!SHAPIRO(E8:E28)</f>
        <v>0.96051920983254535</v>
      </c>
      <c r="H61" s="1" t="s">
        <v>373</v>
      </c>
      <c r="I61" s="77">
        <f ca="1">AVERAGE(E35:E55)</f>
        <v>0.55692499999999989</v>
      </c>
      <c r="J61" t="s">
        <v>392</v>
      </c>
      <c r="K61">
        <f ca="1">[1]!SHAPIRO(E35:E55)</f>
        <v>0.92315915940964377</v>
      </c>
      <c r="M61" s="64" t="s">
        <v>402</v>
      </c>
      <c r="N61" s="64" t="s">
        <v>385</v>
      </c>
      <c r="O61" s="64" t="s">
        <v>373</v>
      </c>
      <c r="P61" s="64" t="s">
        <v>403</v>
      </c>
      <c r="Q61" s="64" t="s">
        <v>404</v>
      </c>
      <c r="R61" s="64" t="s">
        <v>405</v>
      </c>
      <c r="S61" s="64" t="s">
        <v>406</v>
      </c>
      <c r="T61" s="64" t="s">
        <v>407</v>
      </c>
      <c r="U61" s="64" t="s">
        <v>408</v>
      </c>
      <c r="W61" t="s">
        <v>422</v>
      </c>
      <c r="X61" s="66">
        <f ca="1">MEDIAN(E8:E28)</f>
        <v>0.44497999999999999</v>
      </c>
      <c r="Y61" s="67">
        <f ca="1">MEDIAN(E35:E55)</f>
        <v>0.53991800000000001</v>
      </c>
      <c r="AA61" s="8"/>
    </row>
    <row r="62" spans="2:27">
      <c r="B62" s="76"/>
      <c r="C62" t="s">
        <v>374</v>
      </c>
      <c r="D62">
        <f ca="1">_xlfn.STDEV.S(E8:E28)/SQRT(COUNT(E8:E28))</f>
        <v>1.7443145325889177E-2</v>
      </c>
      <c r="E62" t="s">
        <v>393</v>
      </c>
      <c r="F62">
        <f ca="1">[1]!SWTEST(E8:E28)</f>
        <v>0.52664642003878792</v>
      </c>
      <c r="H62" s="1" t="s">
        <v>374</v>
      </c>
      <c r="I62">
        <f ca="1">_xlfn.STDEV.S(E35:E55)/SQRT(COUNT(E35:E55))</f>
        <v>1.0676993850821317E-2</v>
      </c>
      <c r="J62" t="s">
        <v>393</v>
      </c>
      <c r="K62">
        <f ca="1">[1]!SWTEST(E35:E55)</f>
        <v>0.10037297888734542</v>
      </c>
      <c r="M62" t="s">
        <v>372</v>
      </c>
      <c r="N62">
        <f ca="1">COUNT(E8:E28)</f>
        <v>21</v>
      </c>
      <c r="O62" s="77">
        <f ca="1">AVERAGE(E8:E28)</f>
        <v>0.45824047619047625</v>
      </c>
      <c r="P62">
        <f ca="1">_xlfn.STDEV.S(E8:E28)</f>
        <v>7.9934533814002312E-2</v>
      </c>
      <c r="AA62" s="8"/>
    </row>
    <row r="63" spans="2:27">
      <c r="B63" s="76"/>
      <c r="C63" t="s">
        <v>375</v>
      </c>
      <c r="D63" s="77">
        <f ca="1">MEDIAN(E8:E28)</f>
        <v>0.44497999999999999</v>
      </c>
      <c r="E63" t="s">
        <v>394</v>
      </c>
      <c r="F63">
        <v>0.05</v>
      </c>
      <c r="H63" s="1" t="s">
        <v>375</v>
      </c>
      <c r="I63" s="77">
        <f ca="1">MEDIAN(E35:E55)</f>
        <v>0.53991800000000001</v>
      </c>
      <c r="J63" t="s">
        <v>394</v>
      </c>
      <c r="K63">
        <v>0.05</v>
      </c>
      <c r="M63" t="s">
        <v>409</v>
      </c>
      <c r="N63">
        <f ca="1">COUNT(E35:E55)</f>
        <v>21</v>
      </c>
      <c r="O63" s="77">
        <f ca="1">AVERAGE(E35:E55)</f>
        <v>0.55692499999999989</v>
      </c>
      <c r="P63">
        <f ca="1">_xlfn.STDEV.S(E35:E55)</f>
        <v>4.8928132515966727E-2</v>
      </c>
      <c r="W63" t="s">
        <v>423</v>
      </c>
      <c r="X63" s="68">
        <f ca="1">SUMPRODUCT(--ISNUMBER(E8:E28),--ISNUMBER(E35:E55))</f>
        <v>21</v>
      </c>
      <c r="AA63" s="8"/>
    </row>
    <row r="64" spans="2:27">
      <c r="B64" s="76"/>
      <c r="C64" t="s">
        <v>376</v>
      </c>
      <c r="D64" t="e">
        <f ca="1">MODE(E8:E28)</f>
        <v>#N/A</v>
      </c>
      <c r="E64" s="5" t="s">
        <v>395</v>
      </c>
      <c r="F64" s="63" t="str">
        <f ca="1">IF(F62&lt;F63,"no","yes")</f>
        <v>yes</v>
      </c>
      <c r="H64" s="1" t="s">
        <v>376</v>
      </c>
      <c r="I64" t="e">
        <f ca="1">MODE(E35:E55)</f>
        <v>#N/A</v>
      </c>
      <c r="J64" s="5" t="s">
        <v>395</v>
      </c>
      <c r="K64" s="63" t="str">
        <f ca="1">IF(K62&lt;K63,"no","yes")</f>
        <v>yes</v>
      </c>
      <c r="M64" s="20" t="s">
        <v>410</v>
      </c>
      <c r="N64" s="20">
        <f ca="1">N63</f>
        <v>21</v>
      </c>
      <c r="O64" s="65">
        <f ca="1">O62-O63</f>
        <v>-9.8684523809523639E-2</v>
      </c>
      <c r="P64" s="20">
        <f t="array" aca="1" ref="P64" ca="1">_xlfn.STDEV.S(E8:E28-E35:E55)</f>
        <v>7.7496505179665387E-2</v>
      </c>
      <c r="Q64" s="20">
        <f ca="1">P64/SQRT(N64)</f>
        <v>1.6911123860969237E-2</v>
      </c>
      <c r="R64" s="20">
        <f ca="1">(O62-O63-T60)/Q64</f>
        <v>-5.8354799255705814</v>
      </c>
      <c r="S64" s="20">
        <f ca="1">N64-1</f>
        <v>20</v>
      </c>
      <c r="T64" s="20">
        <f ca="1">ABS(O62-O63-T60)/P64</f>
        <v>1.273406117872498</v>
      </c>
      <c r="U64" s="20">
        <f ca="1">SQRT(R64^2/(R64^2+S64))</f>
        <v>0.79372009771524532</v>
      </c>
      <c r="W64" t="s">
        <v>424</v>
      </c>
      <c r="X64" s="69">
        <f ca="1">SUMPRODUCT(--ISNUMBER(E8:E28),--ISNUMBER(E35:E55),--(E8:E28&lt;&gt;E35:E55))</f>
        <v>21</v>
      </c>
      <c r="AA64" s="8"/>
    </row>
    <row r="65" spans="2:27">
      <c r="B65" s="76"/>
      <c r="C65" t="s">
        <v>377</v>
      </c>
      <c r="D65">
        <f ca="1">_xlfn.STDEV.S(E8:E28)</f>
        <v>7.9934533814002312E-2</v>
      </c>
      <c r="H65" s="1" t="s">
        <v>377</v>
      </c>
      <c r="I65">
        <f ca="1">_xlfn.STDEV.S(E35:E55)</f>
        <v>4.8928132515966727E-2</v>
      </c>
      <c r="W65" t="s">
        <v>425</v>
      </c>
      <c r="X65" s="69">
        <f ca="1">IF(X67&lt;=X70,X67,X64*(X64+1)/2)</f>
        <v>9</v>
      </c>
      <c r="AA65" s="8"/>
    </row>
    <row r="66" spans="2:27" ht="15" thickBot="1">
      <c r="B66" s="76"/>
      <c r="C66" t="s">
        <v>378</v>
      </c>
      <c r="D66">
        <f ca="1">_xlfn.VAR.S(E8:E28)</f>
        <v>6.3895296960618797E-3</v>
      </c>
      <c r="E66" t="s">
        <v>396</v>
      </c>
      <c r="H66" s="1" t="s">
        <v>378</v>
      </c>
      <c r="I66">
        <f ca="1">_xlfn.VAR.S(E35:E55)</f>
        <v>2.3939621515000004E-3</v>
      </c>
      <c r="J66" t="s">
        <v>396</v>
      </c>
      <c r="M66" t="s">
        <v>411</v>
      </c>
      <c r="W66" t="s">
        <v>426</v>
      </c>
      <c r="X66" s="69">
        <f ca="1">X64*(X64+1)/2-X65</f>
        <v>222</v>
      </c>
      <c r="AA66" s="8"/>
    </row>
    <row r="67" spans="2:27" ht="15" thickTop="1">
      <c r="B67" s="76"/>
      <c r="C67" t="s">
        <v>379</v>
      </c>
      <c r="D67">
        <f ca="1">KURT(E8:E28)</f>
        <v>1.7713421320867311</v>
      </c>
      <c r="H67" s="1" t="s">
        <v>379</v>
      </c>
      <c r="I67">
        <f ca="1">KURT(E35:E55)</f>
        <v>-0.8781520151383897</v>
      </c>
      <c r="M67" s="64" t="s">
        <v>412</v>
      </c>
      <c r="N67" s="64" t="s">
        <v>393</v>
      </c>
      <c r="O67" s="64" t="s">
        <v>413</v>
      </c>
      <c r="P67" s="64" t="s">
        <v>414</v>
      </c>
      <c r="Q67" s="64" t="s">
        <v>415</v>
      </c>
      <c r="R67" s="64" t="s">
        <v>416</v>
      </c>
      <c r="W67" t="s">
        <v>427</v>
      </c>
      <c r="X67" s="70">
        <f ca="1">[1]!SRANK(E8:E28,E35:E55)</f>
        <v>9</v>
      </c>
      <c r="AA67" s="8"/>
    </row>
    <row r="68" spans="2:27">
      <c r="B68" s="76"/>
      <c r="C68" t="s">
        <v>380</v>
      </c>
      <c r="D68">
        <f ca="1">SKEW(E8:E28)</f>
        <v>-0.16774688627683892</v>
      </c>
      <c r="E68" s="20" t="s">
        <v>397</v>
      </c>
      <c r="F68" s="20">
        <f ca="1">[1]!DAGOSTINO(E8:E28)</f>
        <v>2.7572478520643235</v>
      </c>
      <c r="H68" s="1" t="s">
        <v>380</v>
      </c>
      <c r="I68">
        <f ca="1">SKEW(E35:E55)</f>
        <v>0.52461065188520406</v>
      </c>
      <c r="J68" s="20" t="s">
        <v>397</v>
      </c>
      <c r="K68" s="20">
        <f ca="1">[1]!DAGOSTINO(E35:E55)</f>
        <v>2.2922755757357387</v>
      </c>
      <c r="M68" t="s">
        <v>417</v>
      </c>
      <c r="N68">
        <f ca="1">_xlfn.T.DIST.RT(ABS(R64),S64)</f>
        <v>5.2053853097581294E-6</v>
      </c>
      <c r="O68">
        <f ca="1">_xlfn.T.INV.2T(Q60*2,S64)</f>
        <v>1.7247182429207868</v>
      </c>
      <c r="R68" s="78" t="str">
        <f ca="1">IF(N68&lt;Q60,"yes","no")</f>
        <v>yes</v>
      </c>
      <c r="AA68" s="8"/>
    </row>
    <row r="69" spans="2:27">
      <c r="B69" s="76"/>
      <c r="C69" t="s">
        <v>381</v>
      </c>
      <c r="D69">
        <f ca="1">D70-D71</f>
        <v>0.38764199999999999</v>
      </c>
      <c r="E69" t="s">
        <v>393</v>
      </c>
      <c r="F69">
        <f ca="1">[1]!DPTEST(E8:E28)</f>
        <v>0.25192498205878611</v>
      </c>
      <c r="H69" s="1" t="s">
        <v>381</v>
      </c>
      <c r="I69">
        <f ca="1">I70-I71</f>
        <v>0.16655199999999998</v>
      </c>
      <c r="J69" t="s">
        <v>393</v>
      </c>
      <c r="K69">
        <f ca="1">[1]!DPTEST(E35:E55)</f>
        <v>0.31786205237956655</v>
      </c>
      <c r="M69" t="s">
        <v>418</v>
      </c>
      <c r="N69">
        <f ca="1">_xlfn.T.DIST.2T(ABS(R64),S64)</f>
        <v>1.0410770619516259E-5</v>
      </c>
      <c r="O69">
        <f ca="1">_xlfn.T.INV.2T(Q60,S64)</f>
        <v>2.0859634472658648</v>
      </c>
      <c r="P69">
        <f ca="1">(O62-O63)-Q64*O69</f>
        <v>-0.13396051003569104</v>
      </c>
      <c r="Q69">
        <f ca="1">(O62-O63)+Q64*O69</f>
        <v>-6.3408537583356225E-2</v>
      </c>
      <c r="R69" s="78" t="str">
        <f ca="1">IF(N69&lt;Q60,"yes","no")</f>
        <v>yes</v>
      </c>
      <c r="X69" s="78" t="s">
        <v>428</v>
      </c>
      <c r="Y69" s="78" t="s">
        <v>429</v>
      </c>
      <c r="AA69" s="8"/>
    </row>
    <row r="70" spans="2:27">
      <c r="B70" s="76"/>
      <c r="C70" t="s">
        <v>382</v>
      </c>
      <c r="D70" s="77">
        <f ca="1">MAX(E8:E28)</f>
        <v>0.645957</v>
      </c>
      <c r="E70" t="s">
        <v>394</v>
      </c>
      <c r="F70">
        <v>0.05</v>
      </c>
      <c r="H70" s="1" t="s">
        <v>382</v>
      </c>
      <c r="I70" s="77">
        <f ca="1">MAX(E35:E55)</f>
        <v>0.64999099999999999</v>
      </c>
      <c r="J70" t="s">
        <v>394</v>
      </c>
      <c r="K70">
        <v>0.05</v>
      </c>
      <c r="M70" s="20"/>
      <c r="N70" s="20"/>
      <c r="O70" s="20"/>
      <c r="P70" s="20"/>
      <c r="Q70" s="20"/>
      <c r="R70" s="20"/>
      <c r="W70" t="s">
        <v>430</v>
      </c>
      <c r="X70" s="68">
        <f ca="1">X64*(X64+1)/4</f>
        <v>115.5</v>
      </c>
      <c r="AA70" s="8"/>
    </row>
    <row r="71" spans="2:27">
      <c r="B71" s="9"/>
      <c r="C71" t="s">
        <v>383</v>
      </c>
      <c r="D71" s="77">
        <f ca="1">MIN(E8:E28)</f>
        <v>0.25831500000000002</v>
      </c>
      <c r="E71" s="5" t="s">
        <v>395</v>
      </c>
      <c r="F71" s="63" t="str">
        <f ca="1">IF(F69&lt;F70,"no","yes")</f>
        <v>yes</v>
      </c>
      <c r="H71" t="s">
        <v>383</v>
      </c>
      <c r="I71" s="77">
        <f ca="1">MIN(E35:E55)</f>
        <v>0.48343900000000001</v>
      </c>
      <c r="J71" s="5" t="s">
        <v>395</v>
      </c>
      <c r="K71" s="63" t="str">
        <f ca="1">IF(K69&lt;K70,"no","yes")</f>
        <v>yes</v>
      </c>
      <c r="W71" t="s">
        <v>431</v>
      </c>
      <c r="X71" s="69">
        <f ca="1">SQRT(X70*(2*X64+1)/6-[1]!TiesCorrection(E8:E28,E35:E55,1)/48)</f>
        <v>28.770644761631605</v>
      </c>
      <c r="Y71" t="s">
        <v>432</v>
      </c>
      <c r="AA71" s="8"/>
    </row>
    <row r="72" spans="2:27">
      <c r="B72" s="9"/>
      <c r="C72" t="s">
        <v>384</v>
      </c>
      <c r="D72" s="77">
        <f ca="1">SUM(E8:E28)</f>
        <v>9.623050000000001</v>
      </c>
      <c r="H72" t="s">
        <v>384</v>
      </c>
      <c r="I72" s="77">
        <f ca="1">SUM(E35:E55)</f>
        <v>11.695424999999998</v>
      </c>
      <c r="W72" t="s">
        <v>433</v>
      </c>
      <c r="X72" s="69">
        <f ca="1">ABS(ABS(X67-X70)-1/2)/X71</f>
        <v>3.6843108966873448</v>
      </c>
      <c r="Y72" t="s">
        <v>434</v>
      </c>
      <c r="AA72" s="8"/>
    </row>
    <row r="73" spans="2:27" ht="15" thickBot="1">
      <c r="B73" s="76"/>
      <c r="C73" t="s">
        <v>385</v>
      </c>
      <c r="D73">
        <f ca="1">COUNT(E8:E28)</f>
        <v>21</v>
      </c>
      <c r="H73" s="1" t="s">
        <v>385</v>
      </c>
      <c r="I73">
        <f ca="1">COUNT(E35:E55)</f>
        <v>21</v>
      </c>
      <c r="O73" s="112"/>
      <c r="P73" s="112" t="s">
        <v>373</v>
      </c>
      <c r="Q73" s="113" t="s">
        <v>403</v>
      </c>
      <c r="R73" s="114" t="s">
        <v>393</v>
      </c>
      <c r="S73" s="114" t="s">
        <v>408</v>
      </c>
      <c r="W73" t="s">
        <v>435</v>
      </c>
      <c r="X73" s="69">
        <f ca="1">X72/SQRT(X64)</f>
        <v>0.80398255084858972</v>
      </c>
      <c r="AA73" s="8"/>
    </row>
    <row r="74" spans="2:27" ht="15" thickBot="1">
      <c r="B74" s="76"/>
      <c r="C74" t="s">
        <v>386</v>
      </c>
      <c r="D74">
        <f ca="1">GEOMEAN(E8:E28)</f>
        <v>0.45106999203467574</v>
      </c>
      <c r="H74" s="1" t="s">
        <v>386</v>
      </c>
      <c r="I74">
        <f ca="1">GEOMEAN(E35:E55)</f>
        <v>0.55492396243794873</v>
      </c>
      <c r="O74" s="112" t="s">
        <v>441</v>
      </c>
      <c r="P74" s="115">
        <v>0.45824047619047625</v>
      </c>
      <c r="Q74" s="113">
        <v>7.9934533814002312E-2</v>
      </c>
      <c r="R74" s="112"/>
      <c r="S74" s="112"/>
      <c r="W74" t="s">
        <v>436</v>
      </c>
      <c r="X74" s="68">
        <f ca="1">1-_xlfn.NORM.S.DIST(X72,TRUE)</f>
        <v>1.1466110110336381E-4</v>
      </c>
      <c r="Y74" s="71">
        <f ca="1">2*X74</f>
        <v>2.2932220220672761E-4</v>
      </c>
      <c r="AA74" s="8"/>
    </row>
    <row r="75" spans="2:27" ht="15" thickBot="1">
      <c r="B75" s="76"/>
      <c r="C75" t="s">
        <v>387</v>
      </c>
      <c r="D75">
        <f ca="1">HARMEAN(E8:E28)</f>
        <v>0.44309454568484175</v>
      </c>
      <c r="H75" s="1" t="s">
        <v>387</v>
      </c>
      <c r="I75">
        <f ca="1">HARMEAN(E35:E55)</f>
        <v>0.5529722228053261</v>
      </c>
      <c r="O75" s="112" t="s">
        <v>442</v>
      </c>
      <c r="P75" s="115">
        <v>0.55692499999999989</v>
      </c>
      <c r="Q75" s="113">
        <v>4.8928132515966727E-2</v>
      </c>
      <c r="R75" s="112">
        <v>1.0410770619516259E-5</v>
      </c>
      <c r="S75" s="112">
        <v>0.79372009771524532</v>
      </c>
      <c r="W75" t="s">
        <v>437</v>
      </c>
      <c r="X75" s="69">
        <f ca="1">[1]!SRDIST(X67,X64,1)</f>
        <v>1.5735626220703125E-5</v>
      </c>
      <c r="Y75" s="72">
        <f ca="1">2*X75</f>
        <v>3.147125244140625E-5</v>
      </c>
      <c r="AA75" s="8"/>
    </row>
    <row r="76" spans="2:27">
      <c r="B76" s="76"/>
      <c r="C76" t="s">
        <v>388</v>
      </c>
      <c r="D76">
        <f ca="1">AVEDEV(E8:E28)</f>
        <v>5.7580498866213151E-2</v>
      </c>
      <c r="H76" s="1" t="s">
        <v>388</v>
      </c>
      <c r="I76">
        <f ca="1">AVEDEV(E35:E55)</f>
        <v>4.0090857142857129E-2</v>
      </c>
      <c r="W76" t="s">
        <v>438</v>
      </c>
      <c r="X76" s="70" t="s">
        <v>439</v>
      </c>
      <c r="Y76" s="73" t="s">
        <v>439</v>
      </c>
      <c r="AA76" s="8"/>
    </row>
    <row r="77" spans="2:27">
      <c r="B77" s="76"/>
      <c r="C77" t="s">
        <v>389</v>
      </c>
      <c r="D77">
        <f ca="1">[1]!MAD(E8:E28)</f>
        <v>3.5476000000000008E-2</v>
      </c>
      <c r="H77" s="1" t="s">
        <v>389</v>
      </c>
      <c r="I77">
        <f ca="1">[1]!MAD(E35:E55)</f>
        <v>3.4376999999999991E-2</v>
      </c>
      <c r="AA77" s="8"/>
    </row>
    <row r="78" spans="2:27">
      <c r="B78" s="79"/>
      <c r="C78" s="80" t="s">
        <v>390</v>
      </c>
      <c r="D78" s="80">
        <f ca="1">[1]!IQR(E8:E28,FALSE)</f>
        <v>9.1908999999999963E-2</v>
      </c>
      <c r="E78" s="80"/>
      <c r="F78" s="80"/>
      <c r="G78" s="80"/>
      <c r="H78" s="81" t="s">
        <v>390</v>
      </c>
      <c r="I78" s="80">
        <f ca="1">[1]!IQR(E35:E55,FALSE)</f>
        <v>6.8393000000000037E-2</v>
      </c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4"/>
    </row>
    <row r="80" spans="2:27" ht="23.4">
      <c r="B80" s="2"/>
      <c r="C80" s="2"/>
      <c r="D80" s="2"/>
    </row>
    <row r="81" spans="2:27">
      <c r="B81" s="95" t="s">
        <v>208</v>
      </c>
      <c r="C81" s="20" t="s">
        <v>371</v>
      </c>
      <c r="D81" s="20"/>
      <c r="E81" s="20" t="s">
        <v>391</v>
      </c>
      <c r="F81" s="20" t="s">
        <v>391</v>
      </c>
      <c r="G81" s="20"/>
      <c r="H81" s="75" t="s">
        <v>371</v>
      </c>
      <c r="I81" s="20"/>
      <c r="J81" s="20" t="s">
        <v>391</v>
      </c>
      <c r="K81" s="20" t="s">
        <v>391</v>
      </c>
      <c r="L81" s="20"/>
      <c r="M81" s="20" t="s">
        <v>398</v>
      </c>
      <c r="N81" s="20"/>
      <c r="O81" s="20"/>
      <c r="P81" s="20"/>
      <c r="Q81" s="20"/>
      <c r="R81" s="20"/>
      <c r="S81" s="20"/>
      <c r="T81" s="20"/>
      <c r="U81" s="20"/>
      <c r="V81" s="20"/>
      <c r="W81" s="20" t="s">
        <v>419</v>
      </c>
      <c r="X81" s="20"/>
      <c r="Y81" s="20"/>
      <c r="Z81" s="20"/>
      <c r="AA81" s="13"/>
    </row>
    <row r="82" spans="2:27">
      <c r="B82" s="76"/>
      <c r="H82" s="1"/>
      <c r="AA82" s="8"/>
    </row>
    <row r="83" spans="2:27" ht="15" thickBot="1">
      <c r="B83" s="76"/>
      <c r="C83" s="87"/>
      <c r="D83" s="87" t="s">
        <v>372</v>
      </c>
      <c r="E83" s="61"/>
      <c r="F83" s="88" t="s">
        <v>372</v>
      </c>
      <c r="G83" s="88" t="s">
        <v>372</v>
      </c>
      <c r="H83" s="96"/>
      <c r="I83" s="87" t="s">
        <v>372</v>
      </c>
      <c r="J83" s="61"/>
      <c r="K83" s="88" t="s">
        <v>372</v>
      </c>
      <c r="L83" s="88" t="s">
        <v>372</v>
      </c>
      <c r="M83" t="s">
        <v>399</v>
      </c>
      <c r="P83" t="s">
        <v>400</v>
      </c>
      <c r="Q83">
        <v>0.05</v>
      </c>
      <c r="S83" t="s">
        <v>401</v>
      </c>
      <c r="T83">
        <v>0</v>
      </c>
      <c r="X83" t="s">
        <v>420</v>
      </c>
      <c r="Y83" t="s">
        <v>421</v>
      </c>
      <c r="AA83" s="8"/>
    </row>
    <row r="84" spans="2:27" ht="15" thickTop="1">
      <c r="B84" s="76"/>
      <c r="C84" t="s">
        <v>373</v>
      </c>
      <c r="D84" s="91">
        <f ca="1">AVERAGE(F8:F28)</f>
        <v>4.019571428571429</v>
      </c>
      <c r="E84" t="s">
        <v>392</v>
      </c>
      <c r="F84" t="s">
        <v>392</v>
      </c>
      <c r="G84">
        <f ca="1">[1]!SHAPIRO(F8:F28)</f>
        <v>0.87855285310009945</v>
      </c>
      <c r="H84" s="1" t="s">
        <v>373</v>
      </c>
      <c r="I84" s="91">
        <f ca="1">AVERAGE(F35:F55)</f>
        <v>4.2080952380952379</v>
      </c>
      <c r="J84" t="s">
        <v>392</v>
      </c>
      <c r="K84" t="s">
        <v>392</v>
      </c>
      <c r="L84">
        <f ca="1">[1]!SHAPIRO(F35:F55)</f>
        <v>0.88950383684873735</v>
      </c>
      <c r="M84" s="64" t="s">
        <v>402</v>
      </c>
      <c r="N84" s="64" t="s">
        <v>385</v>
      </c>
      <c r="O84" s="64" t="s">
        <v>373</v>
      </c>
      <c r="P84" s="64" t="s">
        <v>403</v>
      </c>
      <c r="Q84" s="64" t="s">
        <v>404</v>
      </c>
      <c r="R84" s="64" t="s">
        <v>405</v>
      </c>
      <c r="S84" s="64" t="s">
        <v>406</v>
      </c>
      <c r="T84" s="64" t="s">
        <v>407</v>
      </c>
      <c r="U84" s="64" t="s">
        <v>408</v>
      </c>
      <c r="W84" t="s">
        <v>422</v>
      </c>
      <c r="X84" s="93">
        <f ca="1">MEDIAN(F8:F28)</f>
        <v>3.7949999999999999</v>
      </c>
      <c r="Y84" s="94">
        <f ca="1">MEDIAN(F35:F55)</f>
        <v>3.613</v>
      </c>
      <c r="AA84" s="8"/>
    </row>
    <row r="85" spans="2:27">
      <c r="B85" s="76"/>
      <c r="C85" t="s">
        <v>374</v>
      </c>
      <c r="D85">
        <f ca="1">_xlfn.STDEV.S(F8:F28)/SQRT(COUNT(F8:F28))</f>
        <v>0.18855517787120224</v>
      </c>
      <c r="E85" t="s">
        <v>393</v>
      </c>
      <c r="F85" t="s">
        <v>393</v>
      </c>
      <c r="G85">
        <f ca="1">[1]!SWTEST(F8:F28)</f>
        <v>1.3732936469324275E-2</v>
      </c>
      <c r="H85" s="1" t="s">
        <v>374</v>
      </c>
      <c r="I85">
        <f ca="1">_xlfn.STDEV.S(F35:F55)/SQRT(COUNT(F35:F55))</f>
        <v>0.30031465169497745</v>
      </c>
      <c r="J85" t="s">
        <v>393</v>
      </c>
      <c r="K85" t="s">
        <v>393</v>
      </c>
      <c r="L85">
        <f ca="1">[1]!SWTEST(F35:F55)</f>
        <v>2.2015892871551923E-2</v>
      </c>
      <c r="M85" t="s">
        <v>372</v>
      </c>
      <c r="N85">
        <f ca="1">COUNT(F8:F28)</f>
        <v>21</v>
      </c>
      <c r="O85" s="91">
        <f ca="1">AVERAGE(F8:F28)</f>
        <v>4.019571428571429</v>
      </c>
      <c r="P85">
        <f ca="1">_xlfn.STDEV.S(F8:F28)</f>
        <v>0.86406837527064662</v>
      </c>
      <c r="AA85" s="8"/>
    </row>
    <row r="86" spans="2:27">
      <c r="B86" s="76"/>
      <c r="C86" t="s">
        <v>375</v>
      </c>
      <c r="D86" s="91">
        <f ca="1">MEDIAN(F8:F28)</f>
        <v>3.7949999999999999</v>
      </c>
      <c r="E86" t="s">
        <v>394</v>
      </c>
      <c r="F86" t="s">
        <v>394</v>
      </c>
      <c r="G86">
        <v>0.05</v>
      </c>
      <c r="H86" s="1" t="s">
        <v>375</v>
      </c>
      <c r="I86" s="91">
        <f ca="1">MEDIAN(F35:F55)</f>
        <v>3.613</v>
      </c>
      <c r="J86" t="s">
        <v>394</v>
      </c>
      <c r="K86" t="s">
        <v>394</v>
      </c>
      <c r="L86">
        <v>0.05</v>
      </c>
      <c r="M86" t="s">
        <v>409</v>
      </c>
      <c r="N86">
        <f ca="1">COUNT(F35:F55)</f>
        <v>21</v>
      </c>
      <c r="O86" s="91">
        <f ca="1">AVERAGE(F35:F55)</f>
        <v>4.2080952380952379</v>
      </c>
      <c r="P86">
        <f ca="1">_xlfn.STDEV.S(F35:F55)</f>
        <v>1.3762146236965322</v>
      </c>
      <c r="W86" t="s">
        <v>423</v>
      </c>
      <c r="X86" s="68">
        <f ca="1">SUMPRODUCT(--ISNUMBER(F8:F28),--ISNUMBER(F35:F55))</f>
        <v>21</v>
      </c>
      <c r="AA86" s="8"/>
    </row>
    <row r="87" spans="2:27">
      <c r="B87" s="76"/>
      <c r="C87" t="s">
        <v>376</v>
      </c>
      <c r="D87" t="e">
        <f ca="1">MODE(F8:F28)</f>
        <v>#N/A</v>
      </c>
      <c r="E87" s="5" t="s">
        <v>395</v>
      </c>
      <c r="F87" s="89" t="s">
        <v>395</v>
      </c>
      <c r="G87" s="89" t="str">
        <f ca="1">IF(G85&lt;G86,"no","yes")</f>
        <v>no</v>
      </c>
      <c r="H87" s="1" t="s">
        <v>376</v>
      </c>
      <c r="I87" t="e">
        <f ca="1">MODE(F35:F55)</f>
        <v>#N/A</v>
      </c>
      <c r="J87" s="5" t="s">
        <v>395</v>
      </c>
      <c r="K87" s="89" t="s">
        <v>395</v>
      </c>
      <c r="L87" s="89" t="str">
        <f ca="1">IF(L85&lt;L86,"no","yes")</f>
        <v>no</v>
      </c>
      <c r="M87" s="20" t="s">
        <v>410</v>
      </c>
      <c r="N87" s="20">
        <f ca="1">N86</f>
        <v>21</v>
      </c>
      <c r="O87" s="92">
        <f ca="1">O85-O86</f>
        <v>-0.18852380952380887</v>
      </c>
      <c r="P87" s="20">
        <f t="array" aca="1" ref="P87" ca="1">_xlfn.STDEV.S(F8:F28-F35:F55)</f>
        <v>1.494695140122146</v>
      </c>
      <c r="Q87" s="20">
        <f ca="1">P87/SQRT(N87)</f>
        <v>0.32616922002344573</v>
      </c>
      <c r="R87" s="20">
        <f ca="1">(O85-O86-T83)/Q87</f>
        <v>-0.57799386928741281</v>
      </c>
      <c r="S87" s="20">
        <f ca="1">N87-1</f>
        <v>20</v>
      </c>
      <c r="T87" s="20">
        <f ca="1">ABS(O85-O86-T83)/P87</f>
        <v>0.12612860272523718</v>
      </c>
      <c r="U87" s="20">
        <f ca="1">SQRT(R87^2/(R87^2+S87))</f>
        <v>0.12817726513048949</v>
      </c>
      <c r="W87" t="s">
        <v>424</v>
      </c>
      <c r="X87" s="69">
        <f ca="1">SUMPRODUCT(--ISNUMBER(F8:F28),--ISNUMBER(F35:F55),--(F8:F28&lt;&gt;F35:F55))</f>
        <v>21</v>
      </c>
      <c r="AA87" s="8"/>
    </row>
    <row r="88" spans="2:27">
      <c r="B88" s="76"/>
      <c r="C88" t="s">
        <v>377</v>
      </c>
      <c r="D88">
        <f ca="1">_xlfn.STDEV.S(F8:F28)</f>
        <v>0.86406837527064662</v>
      </c>
      <c r="H88" s="1" t="s">
        <v>377</v>
      </c>
      <c r="I88">
        <f ca="1">_xlfn.STDEV.S(F35:F55)</f>
        <v>1.3762146236965322</v>
      </c>
      <c r="W88" t="s">
        <v>425</v>
      </c>
      <c r="X88" s="69">
        <f ca="1">IF(X90&lt;=X93,X90,X87*(X87+1)/2)</f>
        <v>111</v>
      </c>
      <c r="AA88" s="8"/>
    </row>
    <row r="89" spans="2:27" ht="15" thickBot="1">
      <c r="B89" s="76"/>
      <c r="C89" t="s">
        <v>378</v>
      </c>
      <c r="D89">
        <f ca="1">_xlfn.VAR.S(F8:F28)</f>
        <v>0.74661415714285506</v>
      </c>
      <c r="E89" t="s">
        <v>396</v>
      </c>
      <c r="F89" t="s">
        <v>396</v>
      </c>
      <c r="H89" s="1" t="s">
        <v>378</v>
      </c>
      <c r="I89">
        <f ca="1">_xlfn.VAR.S(F35:F55)</f>
        <v>1.8939666904761878</v>
      </c>
      <c r="J89" t="s">
        <v>396</v>
      </c>
      <c r="K89" t="s">
        <v>396</v>
      </c>
      <c r="M89" t="s">
        <v>411</v>
      </c>
      <c r="W89" t="s">
        <v>426</v>
      </c>
      <c r="X89" s="69">
        <f ca="1">X87*(X87+1)/2-X88</f>
        <v>120</v>
      </c>
      <c r="AA89" s="8"/>
    </row>
    <row r="90" spans="2:27" ht="15" thickTop="1">
      <c r="B90" s="76"/>
      <c r="C90" t="s">
        <v>379</v>
      </c>
      <c r="D90">
        <f ca="1">KURT(F8:F28)</f>
        <v>3.0107890186285897</v>
      </c>
      <c r="H90" s="1" t="s">
        <v>379</v>
      </c>
      <c r="I90">
        <f ca="1">KURT(F35:F55)</f>
        <v>7.3993865808539283E-2</v>
      </c>
      <c r="M90" s="64" t="s">
        <v>412</v>
      </c>
      <c r="N90" s="64" t="s">
        <v>393</v>
      </c>
      <c r="O90" s="64" t="s">
        <v>413</v>
      </c>
      <c r="P90" s="64" t="s">
        <v>414</v>
      </c>
      <c r="Q90" s="64" t="s">
        <v>415</v>
      </c>
      <c r="R90" s="64" t="s">
        <v>416</v>
      </c>
      <c r="W90" t="s">
        <v>427</v>
      </c>
      <c r="X90" s="70">
        <f ca="1">[1]!SRANK(F8:F28,F35:F55)</f>
        <v>111</v>
      </c>
      <c r="AA90" s="8"/>
    </row>
    <row r="91" spans="2:27">
      <c r="B91" s="76"/>
      <c r="C91" t="s">
        <v>380</v>
      </c>
      <c r="D91">
        <f ca="1">SKEW(F8:F28)</f>
        <v>1.4976154053208979</v>
      </c>
      <c r="E91" s="20" t="s">
        <v>397</v>
      </c>
      <c r="F91" s="90" t="s">
        <v>397</v>
      </c>
      <c r="G91" s="90">
        <f ca="1">[1]!DAGOSTINO(F8:F28)</f>
        <v>12.404318062808862</v>
      </c>
      <c r="H91" s="1" t="s">
        <v>380</v>
      </c>
      <c r="I91">
        <f ca="1">SKEW(F35:F55)</f>
        <v>0.96735379518554532</v>
      </c>
      <c r="J91" s="20" t="s">
        <v>397</v>
      </c>
      <c r="K91" s="90" t="s">
        <v>397</v>
      </c>
      <c r="L91" s="90">
        <f ca="1">[1]!DAGOSTINO(F35:F55)</f>
        <v>3.7455128280332728</v>
      </c>
      <c r="M91" t="s">
        <v>417</v>
      </c>
      <c r="N91">
        <f ca="1">_xlfn.T.DIST.RT(ABS(R87),S87)</f>
        <v>0.28485978772702475</v>
      </c>
      <c r="O91">
        <f ca="1">_xlfn.T.INV.2T(Q83*2,S87)</f>
        <v>1.7247182429207868</v>
      </c>
      <c r="R91" s="78" t="str">
        <f ca="1">IF(N91&lt;Q83,"yes","no")</f>
        <v>no</v>
      </c>
      <c r="AA91" s="8"/>
    </row>
    <row r="92" spans="2:27">
      <c r="B92" s="76"/>
      <c r="C92" t="s">
        <v>381</v>
      </c>
      <c r="D92" s="77">
        <f ca="1">D93-D94</f>
        <v>3.8170000000000002</v>
      </c>
      <c r="E92" t="s">
        <v>393</v>
      </c>
      <c r="F92" t="s">
        <v>393</v>
      </c>
      <c r="G92">
        <f ca="1">[1]!DPTEST(F8:F28)</f>
        <v>2.0250537584274309E-3</v>
      </c>
      <c r="H92" s="1" t="s">
        <v>381</v>
      </c>
      <c r="I92" s="77">
        <f ca="1">I93-I94</f>
        <v>4.7309999999999999</v>
      </c>
      <c r="J92" t="s">
        <v>393</v>
      </c>
      <c r="K92" t="s">
        <v>393</v>
      </c>
      <c r="L92">
        <f ca="1">[1]!DPTEST(F35:F55)</f>
        <v>0.15369941815760146</v>
      </c>
      <c r="M92" t="s">
        <v>418</v>
      </c>
      <c r="N92">
        <f ca="1">_xlfn.T.DIST.2T(ABS(R87),S87)</f>
        <v>0.5697195754540495</v>
      </c>
      <c r="O92">
        <f ca="1">_xlfn.T.INV.2T(Q83,S87)</f>
        <v>2.0859634472658648</v>
      </c>
      <c r="P92">
        <f ca="1">(O85-O86)-Q87*O92</f>
        <v>-0.86890088011593403</v>
      </c>
      <c r="Q92">
        <f ca="1">(O85-O86)+Q87*O92</f>
        <v>0.49185326106831628</v>
      </c>
      <c r="R92" s="78" t="str">
        <f ca="1">IF(N92&lt;Q83,"yes","no")</f>
        <v>no</v>
      </c>
      <c r="X92" s="78" t="s">
        <v>428</v>
      </c>
      <c r="Y92" s="78" t="s">
        <v>429</v>
      </c>
      <c r="AA92" s="8"/>
    </row>
    <row r="93" spans="2:27">
      <c r="B93" s="76"/>
      <c r="C93" t="s">
        <v>382</v>
      </c>
      <c r="D93" s="91">
        <f ca="1">MAX(F8:F28)</f>
        <v>6.548</v>
      </c>
      <c r="E93" t="s">
        <v>394</v>
      </c>
      <c r="F93" t="s">
        <v>394</v>
      </c>
      <c r="G93">
        <v>0.05</v>
      </c>
      <c r="H93" s="1" t="s">
        <v>382</v>
      </c>
      <c r="I93" s="91">
        <f ca="1">MAX(F35:F55)</f>
        <v>7.4080000000000004</v>
      </c>
      <c r="J93" t="s">
        <v>394</v>
      </c>
      <c r="K93" t="s">
        <v>394</v>
      </c>
      <c r="L93">
        <v>0.05</v>
      </c>
      <c r="M93" s="20"/>
      <c r="N93" s="20"/>
      <c r="O93" s="20"/>
      <c r="P93" s="20"/>
      <c r="Q93" s="20"/>
      <c r="R93" s="20"/>
      <c r="W93" t="s">
        <v>430</v>
      </c>
      <c r="X93" s="68">
        <f ca="1">X87*(X87+1)/4</f>
        <v>115.5</v>
      </c>
      <c r="AA93" s="8"/>
    </row>
    <row r="94" spans="2:27">
      <c r="B94" s="9"/>
      <c r="C94" t="s">
        <v>383</v>
      </c>
      <c r="D94" s="91">
        <f ca="1">MIN(F8:F28)</f>
        <v>2.7309999999999999</v>
      </c>
      <c r="E94" s="5" t="s">
        <v>395</v>
      </c>
      <c r="F94" s="89" t="s">
        <v>395</v>
      </c>
      <c r="G94" s="89" t="str">
        <f ca="1">IF(G92&lt;G93,"no","yes")</f>
        <v>no</v>
      </c>
      <c r="H94" t="s">
        <v>383</v>
      </c>
      <c r="I94" s="91">
        <f ca="1">MIN(F35:F55)</f>
        <v>2.677</v>
      </c>
      <c r="J94" s="5" t="s">
        <v>395</v>
      </c>
      <c r="K94" s="89" t="s">
        <v>395</v>
      </c>
      <c r="L94" s="89" t="str">
        <f ca="1">IF(L92&lt;L93,"no","yes")</f>
        <v>yes</v>
      </c>
      <c r="W94" t="s">
        <v>431</v>
      </c>
      <c r="X94" s="69">
        <f ca="1">SQRT(X93*(2*X87+1)/6-[1]!TiesCorrection(F8:F28,F35:F55,1)/48)</f>
        <v>28.770644761631605</v>
      </c>
      <c r="Y94" t="s">
        <v>432</v>
      </c>
      <c r="AA94" s="8"/>
    </row>
    <row r="95" spans="2:27">
      <c r="B95" s="9"/>
      <c r="C95" t="s">
        <v>384</v>
      </c>
      <c r="D95" s="91">
        <f ca="1">SUM(F8:F28)</f>
        <v>84.411000000000001</v>
      </c>
      <c r="H95" t="s">
        <v>384</v>
      </c>
      <c r="I95" s="91">
        <f ca="1">SUM(F35:F55)</f>
        <v>88.37</v>
      </c>
      <c r="W95" t="s">
        <v>433</v>
      </c>
      <c r="X95" s="69">
        <f ca="1">ABS(ABS(X90-X93)-1/2)/X94</f>
        <v>0.13903059987499414</v>
      </c>
      <c r="Y95" t="s">
        <v>434</v>
      </c>
      <c r="AA95" s="8"/>
    </row>
    <row r="96" spans="2:27">
      <c r="B96" s="76"/>
      <c r="C96" t="s">
        <v>385</v>
      </c>
      <c r="D96">
        <f ca="1">COUNT(F8:F28)</f>
        <v>21</v>
      </c>
      <c r="H96" s="1" t="s">
        <v>385</v>
      </c>
      <c r="I96">
        <f ca="1">COUNT(F35:F55)</f>
        <v>21</v>
      </c>
      <c r="W96" t="s">
        <v>435</v>
      </c>
      <c r="X96" s="69">
        <f ca="1">X95/SQRT(X87)</f>
        <v>3.0338964182965649E-2</v>
      </c>
      <c r="AA96" s="8"/>
    </row>
    <row r="97" spans="2:27">
      <c r="B97" s="76"/>
      <c r="C97" t="s">
        <v>386</v>
      </c>
      <c r="D97">
        <f ca="1">GEOMEAN(F8:F28)</f>
        <v>3.9418538788928079</v>
      </c>
      <c r="H97" s="1" t="s">
        <v>386</v>
      </c>
      <c r="I97">
        <f ca="1">GEOMEAN(F35:F55)</f>
        <v>4.0171165199274457</v>
      </c>
      <c r="W97" t="s">
        <v>436</v>
      </c>
      <c r="X97" s="68">
        <f ca="1">1-_xlfn.NORM.S.DIST(X95,TRUE)</f>
        <v>0.44471298432935191</v>
      </c>
      <c r="Y97" s="71">
        <f ca="1">2*X97</f>
        <v>0.88942596865870382</v>
      </c>
      <c r="AA97" s="8"/>
    </row>
    <row r="98" spans="2:27">
      <c r="B98" s="76"/>
      <c r="C98" t="s">
        <v>387</v>
      </c>
      <c r="D98">
        <f ca="1">HARMEAN(F8:F28)</f>
        <v>3.8725991058569882</v>
      </c>
      <c r="H98" s="1" t="s">
        <v>387</v>
      </c>
      <c r="I98">
        <f ca="1">HARMEAN(F35:F55)</f>
        <v>3.8515488600429824</v>
      </c>
      <c r="W98" t="s">
        <v>437</v>
      </c>
      <c r="X98" s="69">
        <f ca="1">[1]!SRDIST(X90,X87,1)</f>
        <v>0.44586610794067383</v>
      </c>
      <c r="Y98" s="72">
        <f ca="1">2*X98</f>
        <v>0.89173221588134766</v>
      </c>
      <c r="AA98" s="8"/>
    </row>
    <row r="99" spans="2:27">
      <c r="B99" s="76"/>
      <c r="C99" t="s">
        <v>388</v>
      </c>
      <c r="D99">
        <f ca="1">AVEDEV(F8:F28)</f>
        <v>0.6095102040816327</v>
      </c>
      <c r="H99" s="1" t="s">
        <v>388</v>
      </c>
      <c r="I99">
        <f ca="1">AVEDEV(F35:F55)</f>
        <v>1.1379183673469386</v>
      </c>
      <c r="W99" t="s">
        <v>438</v>
      </c>
      <c r="X99" s="70" t="s">
        <v>439</v>
      </c>
      <c r="Y99" s="73" t="s">
        <v>439</v>
      </c>
      <c r="AA99" s="8"/>
    </row>
    <row r="100" spans="2:27">
      <c r="B100" s="76"/>
      <c r="C100" t="s">
        <v>389</v>
      </c>
      <c r="D100">
        <f ca="1">[1]!MAD(F8:F28)</f>
        <v>0.43100000000000005</v>
      </c>
      <c r="H100" s="1" t="s">
        <v>389</v>
      </c>
      <c r="I100">
        <f ca="1">[1]!MAD(F35:F55)</f>
        <v>0.74700000000000033</v>
      </c>
      <c r="AA100" s="8"/>
    </row>
    <row r="101" spans="2:27">
      <c r="B101" s="79"/>
      <c r="C101" s="80" t="s">
        <v>390</v>
      </c>
      <c r="D101" s="80">
        <f ca="1">[1]!IQR(F8:F28,FALSE)</f>
        <v>0.7799999999999998</v>
      </c>
      <c r="E101" s="80"/>
      <c r="F101" s="80"/>
      <c r="G101" s="80"/>
      <c r="H101" s="81" t="s">
        <v>390</v>
      </c>
      <c r="I101" s="80">
        <f ca="1">[1]!IQR(F35:F55,FALSE)</f>
        <v>1.9799999999999995</v>
      </c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4"/>
    </row>
    <row r="102" spans="2:27">
      <c r="B102" s="1"/>
      <c r="C102" s="1"/>
    </row>
    <row r="103" spans="2:27">
      <c r="B103" s="1"/>
      <c r="C103" s="1"/>
    </row>
    <row r="104" spans="2:27">
      <c r="B104" s="97" t="s">
        <v>278</v>
      </c>
      <c r="C104" s="20" t="s">
        <v>371</v>
      </c>
      <c r="D104" s="20"/>
      <c r="E104" s="20" t="s">
        <v>391</v>
      </c>
      <c r="F104" s="20" t="s">
        <v>391</v>
      </c>
      <c r="G104" s="20"/>
      <c r="H104" s="75" t="s">
        <v>371</v>
      </c>
      <c r="I104" s="20"/>
      <c r="J104" s="20" t="s">
        <v>391</v>
      </c>
      <c r="K104" s="20" t="s">
        <v>391</v>
      </c>
      <c r="L104" s="20"/>
      <c r="M104" s="20" t="s">
        <v>398</v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 t="s">
        <v>419</v>
      </c>
      <c r="X104" s="20"/>
      <c r="Y104" s="20"/>
      <c r="Z104" s="20"/>
      <c r="AA104" s="13"/>
    </row>
    <row r="105" spans="2:27">
      <c r="B105" s="76"/>
      <c r="H105" s="1"/>
      <c r="AA105" s="8"/>
    </row>
    <row r="106" spans="2:27" ht="15" thickBot="1">
      <c r="B106" s="76"/>
      <c r="C106" s="61"/>
      <c r="D106" s="61" t="s">
        <v>372</v>
      </c>
      <c r="E106" s="61"/>
      <c r="F106" s="88" t="s">
        <v>372</v>
      </c>
      <c r="G106" s="88" t="s">
        <v>372</v>
      </c>
      <c r="H106" s="60"/>
      <c r="I106" s="61" t="s">
        <v>372</v>
      </c>
      <c r="J106" s="61"/>
      <c r="K106" s="88" t="s">
        <v>372</v>
      </c>
      <c r="L106" s="88" t="s">
        <v>372</v>
      </c>
      <c r="M106" t="s">
        <v>399</v>
      </c>
      <c r="P106" t="s">
        <v>400</v>
      </c>
      <c r="Q106">
        <v>0.05</v>
      </c>
      <c r="S106" t="s">
        <v>401</v>
      </c>
      <c r="T106">
        <v>0</v>
      </c>
      <c r="X106" t="s">
        <v>420</v>
      </c>
      <c r="Y106" t="s">
        <v>421</v>
      </c>
      <c r="AA106" s="8"/>
    </row>
    <row r="107" spans="2:27" ht="15" thickTop="1">
      <c r="B107" s="76"/>
      <c r="C107" t="s">
        <v>373</v>
      </c>
      <c r="D107" s="91">
        <f ca="1">AVERAGE(G8:G28)</f>
        <v>40.195714285714288</v>
      </c>
      <c r="E107" t="s">
        <v>392</v>
      </c>
      <c r="F107" t="s">
        <v>392</v>
      </c>
      <c r="G107">
        <f ca="1">[1]!SHAPIRO(G8:G28)</f>
        <v>0.87855285310009901</v>
      </c>
      <c r="H107" s="1" t="s">
        <v>373</v>
      </c>
      <c r="I107" s="91">
        <f ca="1">AVERAGE(G35:G55)</f>
        <v>42.08095238095239</v>
      </c>
      <c r="J107" t="s">
        <v>392</v>
      </c>
      <c r="K107" t="s">
        <v>392</v>
      </c>
      <c r="L107">
        <f ca="1">[1]!SHAPIRO(G35:G55)</f>
        <v>0.88950383684873724</v>
      </c>
      <c r="M107" s="64" t="s">
        <v>402</v>
      </c>
      <c r="N107" s="64" t="s">
        <v>385</v>
      </c>
      <c r="O107" s="64" t="s">
        <v>373</v>
      </c>
      <c r="P107" s="64" t="s">
        <v>403</v>
      </c>
      <c r="Q107" s="64" t="s">
        <v>404</v>
      </c>
      <c r="R107" s="64" t="s">
        <v>405</v>
      </c>
      <c r="S107" s="64" t="s">
        <v>406</v>
      </c>
      <c r="T107" s="64" t="s">
        <v>407</v>
      </c>
      <c r="U107" s="64" t="s">
        <v>408</v>
      </c>
      <c r="W107" t="s">
        <v>422</v>
      </c>
      <c r="X107" s="93">
        <f ca="1">MEDIAN(G8:G28)</f>
        <v>37.950000000000003</v>
      </c>
      <c r="Y107" s="94">
        <f ca="1">MEDIAN(G35:G55)</f>
        <v>36.130000000000003</v>
      </c>
      <c r="AA107" s="8"/>
    </row>
    <row r="108" spans="2:27">
      <c r="B108" s="76"/>
      <c r="C108" t="s">
        <v>374</v>
      </c>
      <c r="D108">
        <f ca="1">_xlfn.STDEV.S(G8:G28)/SQRT(COUNT(G8:G28))</f>
        <v>1.8855517787120284</v>
      </c>
      <c r="E108" t="s">
        <v>393</v>
      </c>
      <c r="F108" t="s">
        <v>393</v>
      </c>
      <c r="G108">
        <f ca="1">[1]!SWTEST(G8:G28)</f>
        <v>1.3732936469323942E-2</v>
      </c>
      <c r="H108" s="1" t="s">
        <v>374</v>
      </c>
      <c r="I108">
        <f ca="1">_xlfn.STDEV.S(G35:G55)/SQRT(COUNT(G35:G55))</f>
        <v>3.003146516949768</v>
      </c>
      <c r="J108" t="s">
        <v>393</v>
      </c>
      <c r="K108" t="s">
        <v>393</v>
      </c>
      <c r="L108">
        <f ca="1">[1]!SWTEST(G35:G55)</f>
        <v>2.2015892871551701E-2</v>
      </c>
      <c r="M108" t="s">
        <v>372</v>
      </c>
      <c r="N108">
        <f ca="1">COUNT(G8:G28)</f>
        <v>21</v>
      </c>
      <c r="O108" s="91">
        <f ca="1">AVERAGE(G8:G28)</f>
        <v>40.195714285714288</v>
      </c>
      <c r="P108">
        <f ca="1">_xlfn.STDEV.S(G8:G28)</f>
        <v>8.6406837527064937</v>
      </c>
      <c r="AA108" s="8"/>
    </row>
    <row r="109" spans="2:27">
      <c r="B109" s="76"/>
      <c r="C109" t="s">
        <v>375</v>
      </c>
      <c r="D109" s="91">
        <f ca="1">MEDIAN(G8:G28)</f>
        <v>37.950000000000003</v>
      </c>
      <c r="E109" t="s">
        <v>394</v>
      </c>
      <c r="F109" t="s">
        <v>394</v>
      </c>
      <c r="G109">
        <v>0.05</v>
      </c>
      <c r="H109" s="1" t="s">
        <v>375</v>
      </c>
      <c r="I109" s="91">
        <f ca="1">MEDIAN(G35:G55)</f>
        <v>36.130000000000003</v>
      </c>
      <c r="J109" t="s">
        <v>394</v>
      </c>
      <c r="K109" t="s">
        <v>394</v>
      </c>
      <c r="L109">
        <v>0.05</v>
      </c>
      <c r="M109" t="s">
        <v>409</v>
      </c>
      <c r="N109">
        <f ca="1">COUNT(G35:G55)</f>
        <v>21</v>
      </c>
      <c r="O109" s="91">
        <f ca="1">AVERAGE(G35:G55)</f>
        <v>42.08095238095239</v>
      </c>
      <c r="P109">
        <f ca="1">_xlfn.STDEV.S(G35:G55)</f>
        <v>13.762146236965293</v>
      </c>
      <c r="W109" t="s">
        <v>423</v>
      </c>
      <c r="X109" s="68">
        <f ca="1">SUMPRODUCT(--ISNUMBER(G8:G28),--ISNUMBER(G35:G55))</f>
        <v>21</v>
      </c>
      <c r="AA109" s="8"/>
    </row>
    <row r="110" spans="2:27">
      <c r="B110" s="76"/>
      <c r="C110" t="s">
        <v>376</v>
      </c>
      <c r="D110" t="e">
        <f ca="1">MODE(G8:G28)</f>
        <v>#N/A</v>
      </c>
      <c r="E110" s="5" t="s">
        <v>395</v>
      </c>
      <c r="F110" s="89" t="s">
        <v>395</v>
      </c>
      <c r="G110" s="89" t="str">
        <f ca="1">IF(G108&lt;G109,"no","yes")</f>
        <v>no</v>
      </c>
      <c r="H110" s="1" t="s">
        <v>376</v>
      </c>
      <c r="I110" t="e">
        <f ca="1">MODE(G35:G55)</f>
        <v>#N/A</v>
      </c>
      <c r="J110" s="5" t="s">
        <v>395</v>
      </c>
      <c r="K110" s="89" t="s">
        <v>395</v>
      </c>
      <c r="L110" s="89" t="str">
        <f ca="1">IF(L108&lt;L109,"no","yes")</f>
        <v>no</v>
      </c>
      <c r="M110" s="20" t="s">
        <v>410</v>
      </c>
      <c r="N110" s="20">
        <f ca="1">N109</f>
        <v>21</v>
      </c>
      <c r="O110" s="92">
        <f ca="1">O108-O109</f>
        <v>-1.8852380952381012</v>
      </c>
      <c r="P110" s="20">
        <f t="array" aca="1" ref="P110" ca="1">_xlfn.STDEV.S(G8:G28-G35:G55)</f>
        <v>14.946951401221462</v>
      </c>
      <c r="Q110" s="20">
        <f ca="1">P110/SQRT(N110)</f>
        <v>3.2616922002344575</v>
      </c>
      <c r="R110" s="20">
        <f ca="1">(O108-O109-T106)/Q110</f>
        <v>-0.57799386928741658</v>
      </c>
      <c r="S110" s="20">
        <f ca="1">N110-1</f>
        <v>20</v>
      </c>
      <c r="T110" s="20">
        <f ca="1">ABS(O108-O109-T106)/P110</f>
        <v>0.12612860272523799</v>
      </c>
      <c r="U110" s="20">
        <f ca="1">SQRT(R110^2/(R110^2+S110))</f>
        <v>0.12817726513049035</v>
      </c>
      <c r="W110" t="s">
        <v>424</v>
      </c>
      <c r="X110" s="69">
        <f ca="1">SUMPRODUCT(--ISNUMBER(G8:G28),--ISNUMBER(G35:G55),--(G8:G28&lt;&gt;G35:G55))</f>
        <v>21</v>
      </c>
      <c r="AA110" s="8"/>
    </row>
    <row r="111" spans="2:27">
      <c r="B111" s="76"/>
      <c r="C111" t="s">
        <v>377</v>
      </c>
      <c r="D111">
        <f ca="1">_xlfn.STDEV.S(G8:G28)</f>
        <v>8.6406837527064937</v>
      </c>
      <c r="H111" s="1" t="s">
        <v>377</v>
      </c>
      <c r="I111">
        <f ca="1">_xlfn.STDEV.S(G35:G55)</f>
        <v>13.762146236965293</v>
      </c>
      <c r="W111" t="s">
        <v>425</v>
      </c>
      <c r="X111" s="69">
        <f ca="1">IF(X113&lt;=X116,X113,X110*(X110+1)/2)</f>
        <v>111</v>
      </c>
      <c r="AA111" s="8"/>
    </row>
    <row r="112" spans="2:27" ht="15" thickBot="1">
      <c r="B112" s="76"/>
      <c r="C112" t="s">
        <v>378</v>
      </c>
      <c r="D112">
        <f ca="1">_xlfn.VAR.S(G8:G28)</f>
        <v>74.66141571428598</v>
      </c>
      <c r="E112" t="s">
        <v>396</v>
      </c>
      <c r="F112" t="s">
        <v>396</v>
      </c>
      <c r="H112" s="1" t="s">
        <v>378</v>
      </c>
      <c r="I112">
        <f ca="1">_xlfn.VAR.S(G35:G55)</f>
        <v>189.39666904761799</v>
      </c>
      <c r="J112" t="s">
        <v>396</v>
      </c>
      <c r="K112" t="s">
        <v>396</v>
      </c>
      <c r="M112" t="s">
        <v>411</v>
      </c>
      <c r="W112" t="s">
        <v>426</v>
      </c>
      <c r="X112" s="69">
        <f ca="1">X110*(X110+1)/2-X111</f>
        <v>120</v>
      </c>
      <c r="AA112" s="8"/>
    </row>
    <row r="113" spans="2:27" ht="15" thickTop="1">
      <c r="B113" s="76"/>
      <c r="C113" t="s">
        <v>379</v>
      </c>
      <c r="D113">
        <f ca="1">KURT(G8:G28)</f>
        <v>3.0107890186285968</v>
      </c>
      <c r="H113" s="1" t="s">
        <v>379</v>
      </c>
      <c r="I113">
        <f ca="1">KURT(G35:G55)</f>
        <v>7.3993865808534398E-2</v>
      </c>
      <c r="M113" s="64" t="s">
        <v>412</v>
      </c>
      <c r="N113" s="64" t="s">
        <v>393</v>
      </c>
      <c r="O113" s="64" t="s">
        <v>413</v>
      </c>
      <c r="P113" s="64" t="s">
        <v>414</v>
      </c>
      <c r="Q113" s="64" t="s">
        <v>415</v>
      </c>
      <c r="R113" s="64" t="s">
        <v>416</v>
      </c>
      <c r="W113" t="s">
        <v>427</v>
      </c>
      <c r="X113" s="70">
        <f ca="1">[1]!SRANK(G8:G28,G35:G55)</f>
        <v>111</v>
      </c>
      <c r="AA113" s="8"/>
    </row>
    <row r="114" spans="2:27">
      <c r="B114" s="76"/>
      <c r="C114" t="s">
        <v>380</v>
      </c>
      <c r="D114">
        <f ca="1">SKEW(G8:G28)</f>
        <v>1.4976154053208992</v>
      </c>
      <c r="E114" s="20" t="s">
        <v>397</v>
      </c>
      <c r="F114" s="90" t="s">
        <v>397</v>
      </c>
      <c r="G114" s="90">
        <f ca="1">[1]!DAGOSTINO(G8:G28)</f>
        <v>12.404318062808613</v>
      </c>
      <c r="H114" s="1" t="s">
        <v>380</v>
      </c>
      <c r="I114">
        <f ca="1">SKEW(G35:G55)</f>
        <v>0.96735379518554254</v>
      </c>
      <c r="J114" s="20" t="s">
        <v>397</v>
      </c>
      <c r="K114" s="90" t="s">
        <v>397</v>
      </c>
      <c r="L114" s="90">
        <f ca="1">[1]!DAGOSTINO(G35:G55)</f>
        <v>3.7455128280333216</v>
      </c>
      <c r="M114" t="s">
        <v>417</v>
      </c>
      <c r="N114">
        <f ca="1">_xlfn.T.DIST.RT(ABS(R110),S110)</f>
        <v>0.28485978772702347</v>
      </c>
      <c r="O114">
        <f ca="1">_xlfn.T.INV.2T(Q106*2,S110)</f>
        <v>1.7247182429207868</v>
      </c>
      <c r="R114" s="78" t="str">
        <f ca="1">IF(N114&lt;Q106,"yes","no")</f>
        <v>no</v>
      </c>
      <c r="AA114" s="8"/>
    </row>
    <row r="115" spans="2:27">
      <c r="B115" s="76"/>
      <c r="C115" t="s">
        <v>381</v>
      </c>
      <c r="D115" s="77">
        <f ca="1">D116-D117</f>
        <v>38.17</v>
      </c>
      <c r="E115" t="s">
        <v>393</v>
      </c>
      <c r="F115" t="s">
        <v>393</v>
      </c>
      <c r="G115">
        <f ca="1">[1]!DPTEST(G8:G28)</f>
        <v>2.0250537584276529E-3</v>
      </c>
      <c r="H115" s="1" t="s">
        <v>381</v>
      </c>
      <c r="I115" s="77">
        <f ca="1">I116-I117</f>
        <v>47.31</v>
      </c>
      <c r="J115" t="s">
        <v>393</v>
      </c>
      <c r="K115" t="s">
        <v>393</v>
      </c>
      <c r="L115">
        <f ca="1">[1]!DPTEST(G35:G55)</f>
        <v>0.15369941815759769</v>
      </c>
      <c r="M115" t="s">
        <v>418</v>
      </c>
      <c r="N115">
        <f ca="1">_xlfn.T.DIST.2T(ABS(R110),S110)</f>
        <v>0.56971957545404694</v>
      </c>
      <c r="O115">
        <f ca="1">_xlfn.T.INV.2T(Q106,S110)</f>
        <v>2.0859634472658648</v>
      </c>
      <c r="P115">
        <f ca="1">(O108-O109)-Q110*O115</f>
        <v>-8.6890088011593534</v>
      </c>
      <c r="Q115">
        <f ca="1">(O108-O109)+Q110*O115</f>
        <v>4.9185326106831511</v>
      </c>
      <c r="R115" s="78" t="str">
        <f ca="1">IF(N115&lt;Q106,"yes","no")</f>
        <v>no</v>
      </c>
      <c r="X115" s="78" t="s">
        <v>428</v>
      </c>
      <c r="Y115" s="78" t="s">
        <v>429</v>
      </c>
      <c r="AA115" s="8"/>
    </row>
    <row r="116" spans="2:27">
      <c r="B116" s="76"/>
      <c r="C116" t="s">
        <v>382</v>
      </c>
      <c r="D116" s="91">
        <f ca="1">MAX(G8:G28)</f>
        <v>65.48</v>
      </c>
      <c r="E116" t="s">
        <v>394</v>
      </c>
      <c r="F116" t="s">
        <v>394</v>
      </c>
      <c r="G116">
        <v>0.05</v>
      </c>
      <c r="H116" s="1" t="s">
        <v>382</v>
      </c>
      <c r="I116" s="91">
        <f ca="1">MAX(G35:G55)</f>
        <v>74.08</v>
      </c>
      <c r="J116" t="s">
        <v>394</v>
      </c>
      <c r="K116" t="s">
        <v>394</v>
      </c>
      <c r="L116">
        <v>0.05</v>
      </c>
      <c r="M116" s="20"/>
      <c r="N116" s="20"/>
      <c r="O116" s="20"/>
      <c r="P116" s="20"/>
      <c r="Q116" s="20"/>
      <c r="R116" s="20"/>
      <c r="W116" t="s">
        <v>430</v>
      </c>
      <c r="X116" s="68">
        <f ca="1">X110*(X110+1)/4</f>
        <v>115.5</v>
      </c>
      <c r="AA116" s="8"/>
    </row>
    <row r="117" spans="2:27">
      <c r="B117" s="9"/>
      <c r="C117" t="s">
        <v>383</v>
      </c>
      <c r="D117" s="91">
        <f ca="1">MIN(G8:G28)</f>
        <v>27.31</v>
      </c>
      <c r="E117" s="5" t="s">
        <v>395</v>
      </c>
      <c r="F117" s="89" t="s">
        <v>395</v>
      </c>
      <c r="G117" s="89" t="str">
        <f ca="1">IF(G115&lt;G116,"no","yes")</f>
        <v>no</v>
      </c>
      <c r="H117" t="s">
        <v>383</v>
      </c>
      <c r="I117" s="91">
        <f ca="1">MIN(G35:G55)</f>
        <v>26.77</v>
      </c>
      <c r="J117" s="5" t="s">
        <v>395</v>
      </c>
      <c r="K117" s="89" t="s">
        <v>395</v>
      </c>
      <c r="L117" s="89" t="str">
        <f ca="1">IF(L115&lt;L116,"no","yes")</f>
        <v>yes</v>
      </c>
      <c r="W117" t="s">
        <v>431</v>
      </c>
      <c r="X117" s="69">
        <f ca="1">SQRT(X116*(2*X110+1)/6-[1]!TiesCorrection(G8:G28,G35:G55,1)/48)</f>
        <v>28.770644761631605</v>
      </c>
      <c r="Y117" t="s">
        <v>432</v>
      </c>
      <c r="AA117" s="8"/>
    </row>
    <row r="118" spans="2:27">
      <c r="B118" s="9"/>
      <c r="C118" t="s">
        <v>384</v>
      </c>
      <c r="D118" s="91">
        <f ca="1">SUM(G8:G28)</f>
        <v>844.11</v>
      </c>
      <c r="H118" t="s">
        <v>384</v>
      </c>
      <c r="I118" s="91">
        <f ca="1">SUM(G35:G55)</f>
        <v>883.70000000000016</v>
      </c>
      <c r="W118" t="s">
        <v>433</v>
      </c>
      <c r="X118" s="69">
        <f ca="1">ABS(ABS(X113-X116)-1/2)/X117</f>
        <v>0.13903059987499414</v>
      </c>
      <c r="Y118" t="s">
        <v>434</v>
      </c>
      <c r="AA118" s="8"/>
    </row>
    <row r="119" spans="2:27">
      <c r="B119" s="76"/>
      <c r="C119" t="s">
        <v>385</v>
      </c>
      <c r="D119">
        <f ca="1">COUNT(G8:G28)</f>
        <v>21</v>
      </c>
      <c r="H119" s="1" t="s">
        <v>385</v>
      </c>
      <c r="I119">
        <f ca="1">COUNT(G35:G55)</f>
        <v>21</v>
      </c>
      <c r="W119" t="s">
        <v>435</v>
      </c>
      <c r="X119" s="69">
        <f ca="1">X118/SQRT(X110)</f>
        <v>3.0338964182965649E-2</v>
      </c>
      <c r="AA119" s="8"/>
    </row>
    <row r="120" spans="2:27">
      <c r="B120" s="76"/>
      <c r="C120" t="s">
        <v>386</v>
      </c>
      <c r="D120">
        <f ca="1">GEOMEAN(G8:G28)</f>
        <v>39.418538788928082</v>
      </c>
      <c r="H120" s="1" t="s">
        <v>386</v>
      </c>
      <c r="I120">
        <f ca="1">GEOMEAN(G35:G55)</f>
        <v>40.171165199274455</v>
      </c>
      <c r="W120" t="s">
        <v>436</v>
      </c>
      <c r="X120" s="68">
        <f ca="1">1-_xlfn.NORM.S.DIST(X118,TRUE)</f>
        <v>0.44471298432935191</v>
      </c>
      <c r="Y120" s="71">
        <f ca="1">2*X120</f>
        <v>0.88942596865870382</v>
      </c>
      <c r="AA120" s="8"/>
    </row>
    <row r="121" spans="2:27">
      <c r="B121" s="76"/>
      <c r="C121" t="s">
        <v>387</v>
      </c>
      <c r="D121">
        <f ca="1">HARMEAN(G8:G28)</f>
        <v>38.725991058569889</v>
      </c>
      <c r="H121" s="1" t="s">
        <v>387</v>
      </c>
      <c r="I121">
        <f ca="1">HARMEAN(G35:G55)</f>
        <v>38.515488600429819</v>
      </c>
      <c r="W121" t="s">
        <v>437</v>
      </c>
      <c r="X121" s="69">
        <f ca="1">[1]!SRDIST(X113,X110,1)</f>
        <v>0.44586610794067383</v>
      </c>
      <c r="Y121" s="72">
        <f ca="1">2*X121</f>
        <v>0.89173221588134766</v>
      </c>
      <c r="AA121" s="8"/>
    </row>
    <row r="122" spans="2:27">
      <c r="B122" s="76"/>
      <c r="C122" t="s">
        <v>388</v>
      </c>
      <c r="D122">
        <f ca="1">AVEDEV(G8:G28)</f>
        <v>6.095102040816327</v>
      </c>
      <c r="H122" s="1" t="s">
        <v>388</v>
      </c>
      <c r="I122">
        <f ca="1">AVEDEV(G35:G55)</f>
        <v>11.379183673469392</v>
      </c>
      <c r="W122" t="s">
        <v>438</v>
      </c>
      <c r="X122" s="70" t="s">
        <v>439</v>
      </c>
      <c r="Y122" s="73" t="s">
        <v>439</v>
      </c>
      <c r="AA122" s="8"/>
    </row>
    <row r="123" spans="2:27">
      <c r="B123" s="76"/>
      <c r="C123" t="s">
        <v>389</v>
      </c>
      <c r="D123">
        <f ca="1">[1]!MAD(G8:G28)</f>
        <v>4.3099999999999952</v>
      </c>
      <c r="H123" s="1" t="s">
        <v>389</v>
      </c>
      <c r="I123">
        <f ca="1">[1]!MAD(G35:G55)</f>
        <v>7.4699999999999989</v>
      </c>
      <c r="AA123" s="8"/>
    </row>
    <row r="124" spans="2:27">
      <c r="B124" s="79"/>
      <c r="C124" s="5" t="s">
        <v>390</v>
      </c>
      <c r="D124" s="5">
        <f ca="1">[1]!IQR(G8:G28,FALSE)</f>
        <v>7.8000000000000043</v>
      </c>
      <c r="E124" s="80"/>
      <c r="F124" s="80"/>
      <c r="G124" s="80"/>
      <c r="H124" s="62" t="s">
        <v>390</v>
      </c>
      <c r="I124" s="5">
        <f ca="1">[1]!IQR(G35:G55,FALSE)</f>
        <v>19.800000000000004</v>
      </c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4"/>
    </row>
    <row r="127" spans="2:27">
      <c r="B127" s="82" t="s">
        <v>218</v>
      </c>
      <c r="C127" s="20" t="s">
        <v>371</v>
      </c>
      <c r="D127" s="20"/>
      <c r="E127" s="20" t="s">
        <v>391</v>
      </c>
      <c r="F127" s="20" t="s">
        <v>391</v>
      </c>
      <c r="G127" s="20"/>
      <c r="H127" s="75" t="s">
        <v>371</v>
      </c>
      <c r="I127" s="20"/>
      <c r="J127" s="20" t="s">
        <v>391</v>
      </c>
      <c r="K127" s="20" t="s">
        <v>391</v>
      </c>
      <c r="L127" s="20"/>
      <c r="M127" s="20" t="s">
        <v>398</v>
      </c>
      <c r="N127" s="20"/>
      <c r="O127" s="20"/>
      <c r="P127" s="20"/>
      <c r="Q127" s="20"/>
      <c r="R127" s="20"/>
      <c r="S127" s="20"/>
      <c r="T127" s="20"/>
      <c r="U127" s="20"/>
      <c r="V127" s="20"/>
      <c r="W127" s="20" t="s">
        <v>419</v>
      </c>
      <c r="X127" s="20"/>
      <c r="Y127" s="20"/>
      <c r="Z127" s="20"/>
      <c r="AA127" s="13"/>
    </row>
    <row r="128" spans="2:27">
      <c r="B128" s="76"/>
      <c r="H128" s="1"/>
      <c r="AA128" s="8"/>
    </row>
    <row r="129" spans="2:27" ht="15" thickBot="1">
      <c r="B129" s="76"/>
      <c r="C129" s="88"/>
      <c r="D129" s="88" t="s">
        <v>372</v>
      </c>
      <c r="E129" s="61"/>
      <c r="F129" s="88" t="s">
        <v>372</v>
      </c>
      <c r="G129" s="88" t="s">
        <v>372</v>
      </c>
      <c r="H129" s="60"/>
      <c r="I129" s="61" t="s">
        <v>372</v>
      </c>
      <c r="J129" s="61"/>
      <c r="K129" s="88" t="s">
        <v>372</v>
      </c>
      <c r="L129" s="88" t="s">
        <v>372</v>
      </c>
      <c r="M129" t="s">
        <v>399</v>
      </c>
      <c r="P129" t="s">
        <v>400</v>
      </c>
      <c r="Q129">
        <v>0.05</v>
      </c>
      <c r="S129" t="s">
        <v>401</v>
      </c>
      <c r="T129">
        <v>0</v>
      </c>
      <c r="X129" s="98" t="s">
        <v>420</v>
      </c>
      <c r="Y129" s="98" t="s">
        <v>421</v>
      </c>
      <c r="AA129" s="8"/>
    </row>
    <row r="130" spans="2:27" ht="15" thickTop="1">
      <c r="B130" s="76"/>
      <c r="C130" t="s">
        <v>373</v>
      </c>
      <c r="D130" s="98">
        <f ca="1">AVERAGE(H8:H28)</f>
        <v>15.619047619047619</v>
      </c>
      <c r="E130" t="s">
        <v>392</v>
      </c>
      <c r="F130" t="s">
        <v>392</v>
      </c>
      <c r="G130">
        <f ca="1">[1]!SHAPIRO(H8:H28)</f>
        <v>0.89829397728168592</v>
      </c>
      <c r="H130" s="1" t="s">
        <v>373</v>
      </c>
      <c r="I130" s="98">
        <f ca="1">AVERAGE(H35:H55)</f>
        <v>23.19047619047619</v>
      </c>
      <c r="J130" t="s">
        <v>392</v>
      </c>
      <c r="K130" t="s">
        <v>392</v>
      </c>
      <c r="L130">
        <f ca="1">[1]!SHAPIRO(H35:H55)</f>
        <v>0.96219219171966963</v>
      </c>
      <c r="M130" s="64" t="s">
        <v>402</v>
      </c>
      <c r="N130" s="64" t="s">
        <v>385</v>
      </c>
      <c r="O130" s="64" t="s">
        <v>373</v>
      </c>
      <c r="P130" s="64" t="s">
        <v>403</v>
      </c>
      <c r="Q130" s="64" t="s">
        <v>404</v>
      </c>
      <c r="R130" s="64" t="s">
        <v>405</v>
      </c>
      <c r="S130" s="64" t="s">
        <v>406</v>
      </c>
      <c r="T130" s="64" t="s">
        <v>407</v>
      </c>
      <c r="U130" s="64" t="s">
        <v>408</v>
      </c>
      <c r="W130" t="s">
        <v>422</v>
      </c>
      <c r="X130" s="106">
        <f ca="1">MEDIAN(H8:H28)</f>
        <v>15</v>
      </c>
      <c r="Y130" s="107">
        <f ca="1">MEDIAN(H35:H55)</f>
        <v>22</v>
      </c>
      <c r="AA130" s="8"/>
    </row>
    <row r="131" spans="2:27">
      <c r="B131" s="76"/>
      <c r="C131" t="s">
        <v>374</v>
      </c>
      <c r="D131">
        <f ca="1">_xlfn.STDEV.S(H8:H28)/SQRT(COUNT(H8:H28))</f>
        <v>2.6163189248547831</v>
      </c>
      <c r="E131" t="s">
        <v>393</v>
      </c>
      <c r="F131" t="s">
        <v>393</v>
      </c>
      <c r="G131">
        <f ca="1">[1]!SWTEST(H8:H28)</f>
        <v>3.2431323935909862E-2</v>
      </c>
      <c r="H131" s="1" t="s">
        <v>374</v>
      </c>
      <c r="I131">
        <f ca="1">_xlfn.STDEV.S(H35:H55)/SQRT(COUNT(H35:H55))</f>
        <v>3.0765000581358279</v>
      </c>
      <c r="J131" t="s">
        <v>393</v>
      </c>
      <c r="K131" t="s">
        <v>393</v>
      </c>
      <c r="L131">
        <f ca="1">[1]!SWTEST(H35:H55)</f>
        <v>0.56134401364000697</v>
      </c>
      <c r="M131" s="98" t="s">
        <v>372</v>
      </c>
      <c r="N131">
        <f ca="1">COUNT(H8:H28)</f>
        <v>21</v>
      </c>
      <c r="O131" s="98">
        <f ca="1">AVERAGE(H8:H28)</f>
        <v>15.619047619047619</v>
      </c>
      <c r="P131">
        <f ca="1">_xlfn.STDEV.S(H8:H28)</f>
        <v>11.989479515292523</v>
      </c>
      <c r="AA131" s="8"/>
    </row>
    <row r="132" spans="2:27">
      <c r="B132" s="76"/>
      <c r="C132" t="s">
        <v>375</v>
      </c>
      <c r="D132" s="98">
        <f ca="1">MEDIAN(H8:H28)</f>
        <v>15</v>
      </c>
      <c r="E132" t="s">
        <v>394</v>
      </c>
      <c r="F132" t="s">
        <v>394</v>
      </c>
      <c r="G132">
        <v>0.05</v>
      </c>
      <c r="H132" s="1" t="s">
        <v>375</v>
      </c>
      <c r="I132" s="98">
        <f ca="1">MEDIAN(H35:H55)</f>
        <v>22</v>
      </c>
      <c r="J132" t="s">
        <v>394</v>
      </c>
      <c r="K132" t="s">
        <v>394</v>
      </c>
      <c r="L132">
        <v>0.05</v>
      </c>
      <c r="M132" s="98" t="s">
        <v>409</v>
      </c>
      <c r="N132">
        <f ca="1">COUNT(H35:H55)</f>
        <v>21</v>
      </c>
      <c r="O132" s="98">
        <f ca="1">AVERAGE(H35:H55)</f>
        <v>23.19047619047619</v>
      </c>
      <c r="P132">
        <f ca="1">_xlfn.STDEV.S(H35:H55)</f>
        <v>14.098294391943472</v>
      </c>
      <c r="W132" t="s">
        <v>423</v>
      </c>
      <c r="X132" s="108">
        <f ca="1">SUMPRODUCT(--ISNUMBER(H8:H28),--ISNUMBER(H35:H55))</f>
        <v>21</v>
      </c>
      <c r="AA132" s="8"/>
    </row>
    <row r="133" spans="2:27">
      <c r="B133" s="76"/>
      <c r="C133" t="s">
        <v>376</v>
      </c>
      <c r="D133">
        <f ca="1">MODE(H8:H28)</f>
        <v>5</v>
      </c>
      <c r="E133" s="5" t="s">
        <v>395</v>
      </c>
      <c r="F133" s="89" t="s">
        <v>395</v>
      </c>
      <c r="G133" s="89" t="str">
        <f ca="1">IF(G131&lt;G132,"no","yes")</f>
        <v>no</v>
      </c>
      <c r="H133" s="1" t="s">
        <v>376</v>
      </c>
      <c r="I133">
        <f ca="1">MODE(H35:H55)</f>
        <v>22</v>
      </c>
      <c r="J133" s="5" t="s">
        <v>395</v>
      </c>
      <c r="K133" s="89" t="s">
        <v>395</v>
      </c>
      <c r="L133" s="89" t="str">
        <f ca="1">IF(L131&lt;L132,"no","yes")</f>
        <v>yes</v>
      </c>
      <c r="M133" s="90" t="s">
        <v>410</v>
      </c>
      <c r="N133" s="90">
        <f ca="1">N132</f>
        <v>21</v>
      </c>
      <c r="O133" s="105">
        <f ca="1">O131-O132</f>
        <v>-7.5714285714285712</v>
      </c>
      <c r="P133" s="90">
        <f t="array" aca="1" ref="P133" ca="1">_xlfn.STDEV.S(H8:H28-H35:H55)</f>
        <v>14.413783086238769</v>
      </c>
      <c r="Q133" s="90">
        <f ca="1">P133/SQRT(N133)</f>
        <v>3.1453453353982552</v>
      </c>
      <c r="R133" s="90">
        <f ca="1">(O131-O132-T129)/Q133</f>
        <v>-2.4071851463234948</v>
      </c>
      <c r="S133" s="90">
        <f ca="1">N133-1</f>
        <v>20</v>
      </c>
      <c r="T133" s="90">
        <f ca="1">ABS(O131-O132-T129)/P133</f>
        <v>0.52529086403813163</v>
      </c>
      <c r="U133" s="90">
        <f ca="1">SQRT(R133^2/(R133^2+S133))</f>
        <v>0.47396426454286394</v>
      </c>
      <c r="W133" t="s">
        <v>424</v>
      </c>
      <c r="X133" s="69">
        <f ca="1">SUMPRODUCT(--ISNUMBER(H8:H28),--ISNUMBER(H35:H55),--(H8:H28&lt;&gt;H35:H55))</f>
        <v>21</v>
      </c>
      <c r="AA133" s="8"/>
    </row>
    <row r="134" spans="2:27">
      <c r="B134" s="76"/>
      <c r="C134" t="s">
        <v>377</v>
      </c>
      <c r="D134">
        <f ca="1">_xlfn.STDEV.S(H8:H28)</f>
        <v>11.989479515292523</v>
      </c>
      <c r="H134" s="1" t="s">
        <v>377</v>
      </c>
      <c r="I134">
        <f ca="1">_xlfn.STDEV.S(H35:H55)</f>
        <v>14.098294391943472</v>
      </c>
      <c r="W134" t="s">
        <v>425</v>
      </c>
      <c r="X134" s="69">
        <f ca="1">IF(X136&lt;=X139,X136,X133*(X133+1)/2)</f>
        <v>54.5</v>
      </c>
      <c r="AA134" s="8"/>
    </row>
    <row r="135" spans="2:27" ht="15" thickBot="1">
      <c r="B135" s="76"/>
      <c r="C135" t="s">
        <v>378</v>
      </c>
      <c r="D135">
        <f ca="1">_xlfn.VAR.S(H8:H28)</f>
        <v>143.74761904761903</v>
      </c>
      <c r="E135" t="s">
        <v>396</v>
      </c>
      <c r="F135" t="s">
        <v>396</v>
      </c>
      <c r="H135" s="1" t="s">
        <v>378</v>
      </c>
      <c r="I135">
        <f ca="1">_xlfn.VAR.S(H35:H55)</f>
        <v>198.76190476190476</v>
      </c>
      <c r="J135" t="s">
        <v>396</v>
      </c>
      <c r="K135" t="s">
        <v>396</v>
      </c>
      <c r="M135" t="s">
        <v>411</v>
      </c>
      <c r="W135" t="s">
        <v>426</v>
      </c>
      <c r="X135" s="69">
        <f ca="1">X133*(X133+1)/2-X134</f>
        <v>176.5</v>
      </c>
      <c r="AA135" s="8"/>
    </row>
    <row r="136" spans="2:27" ht="15" thickTop="1">
      <c r="B136" s="76"/>
      <c r="C136" t="s">
        <v>379</v>
      </c>
      <c r="D136">
        <f ca="1">KURT(H8:H28)</f>
        <v>-0.31504706525689263</v>
      </c>
      <c r="H136" s="1" t="s">
        <v>379</v>
      </c>
      <c r="I136">
        <f ca="1">KURT(H35:H55)</f>
        <v>-0.17567804090518857</v>
      </c>
      <c r="M136" s="64" t="s">
        <v>412</v>
      </c>
      <c r="N136" s="64" t="s">
        <v>393</v>
      </c>
      <c r="O136" s="64" t="s">
        <v>413</v>
      </c>
      <c r="P136" s="64" t="s">
        <v>414</v>
      </c>
      <c r="Q136" s="64" t="s">
        <v>415</v>
      </c>
      <c r="R136" s="64" t="s">
        <v>416</v>
      </c>
      <c r="W136" t="s">
        <v>427</v>
      </c>
      <c r="X136" s="109">
        <f ca="1">[1]!SRANK(H8:H28,H35:H55)</f>
        <v>54.5</v>
      </c>
      <c r="AA136" s="8"/>
    </row>
    <row r="137" spans="2:27">
      <c r="B137" s="76"/>
      <c r="C137" t="s">
        <v>380</v>
      </c>
      <c r="D137">
        <f ca="1">SKEW(H8:H28)</f>
        <v>0.6961630233482462</v>
      </c>
      <c r="E137" s="20" t="s">
        <v>397</v>
      </c>
      <c r="F137" s="90" t="s">
        <v>397</v>
      </c>
      <c r="G137" s="90">
        <f ca="1">[1]!DAGOSTINO(H8:H28)</f>
        <v>2.0360565600777765</v>
      </c>
      <c r="H137" s="1" t="s">
        <v>380</v>
      </c>
      <c r="I137">
        <f ca="1">SKEW(H35:H55)</f>
        <v>0.5063308857022788</v>
      </c>
      <c r="J137" s="20" t="s">
        <v>397</v>
      </c>
      <c r="K137" s="90" t="s">
        <v>397</v>
      </c>
      <c r="L137" s="90">
        <f ca="1">[1]!DAGOSTINO(H35:H55)</f>
        <v>1.1047865472365392</v>
      </c>
      <c r="M137" t="s">
        <v>417</v>
      </c>
      <c r="N137">
        <f ca="1">_xlfn.T.DIST.RT(ABS(R133),S133)</f>
        <v>1.292730733351327E-2</v>
      </c>
      <c r="O137">
        <f ca="1">_xlfn.T.INV.2T(Q129*2,S133)</f>
        <v>1.7247182429207868</v>
      </c>
      <c r="R137" s="78" t="str">
        <f ca="1">IF(N137&lt;Q129,"yes","no")</f>
        <v>yes</v>
      </c>
      <c r="AA137" s="8"/>
    </row>
    <row r="138" spans="2:27">
      <c r="B138" s="76"/>
      <c r="C138" t="s">
        <v>381</v>
      </c>
      <c r="D138" s="98">
        <f ca="1">D139-D140</f>
        <v>43</v>
      </c>
      <c r="E138" t="s">
        <v>393</v>
      </c>
      <c r="F138" t="s">
        <v>393</v>
      </c>
      <c r="G138">
        <f ca="1">[1]!DPTEST(H8:H28)</f>
        <v>0.36130663381420292</v>
      </c>
      <c r="H138" s="1" t="s">
        <v>381</v>
      </c>
      <c r="I138" s="77">
        <f ca="1">I139-I140</f>
        <v>52</v>
      </c>
      <c r="J138" t="s">
        <v>393</v>
      </c>
      <c r="K138" t="s">
        <v>393</v>
      </c>
      <c r="L138">
        <f ca="1">[1]!DPTEST(H35:H55)</f>
        <v>0.57557066261750123</v>
      </c>
      <c r="M138" t="s">
        <v>418</v>
      </c>
      <c r="N138">
        <f ca="1">_xlfn.T.DIST.2T(ABS(R133),S133)</f>
        <v>2.585461466702654E-2</v>
      </c>
      <c r="O138">
        <f ca="1">_xlfn.T.INV.2T(Q129,S133)</f>
        <v>2.0859634472658648</v>
      </c>
      <c r="P138">
        <f ca="1">(O131-O132)-Q133*O138</f>
        <v>-14.132503970097524</v>
      </c>
      <c r="Q138">
        <f ca="1">(O131-O132)+Q133*O138</f>
        <v>-1.0103531727596193</v>
      </c>
      <c r="R138" s="78" t="str">
        <f ca="1">IF(N138&lt;Q129,"yes","no")</f>
        <v>yes</v>
      </c>
      <c r="X138" s="78" t="s">
        <v>428</v>
      </c>
      <c r="Y138" s="78" t="s">
        <v>429</v>
      </c>
      <c r="AA138" s="8"/>
    </row>
    <row r="139" spans="2:27">
      <c r="B139" s="76"/>
      <c r="C139" t="s">
        <v>382</v>
      </c>
      <c r="D139" s="98">
        <f ca="1">MAX(H8:H28)</f>
        <v>44</v>
      </c>
      <c r="E139" t="s">
        <v>394</v>
      </c>
      <c r="F139" t="s">
        <v>394</v>
      </c>
      <c r="G139">
        <v>0.05</v>
      </c>
      <c r="H139" s="1" t="s">
        <v>382</v>
      </c>
      <c r="I139" s="98">
        <f ca="1">MAX(H35:H55)</f>
        <v>54</v>
      </c>
      <c r="J139" t="s">
        <v>394</v>
      </c>
      <c r="K139" t="s">
        <v>394</v>
      </c>
      <c r="L139">
        <v>0.05</v>
      </c>
      <c r="M139" s="90"/>
      <c r="N139" s="90"/>
      <c r="O139" s="90"/>
      <c r="P139" s="90"/>
      <c r="Q139" s="90"/>
      <c r="R139" s="90"/>
      <c r="W139" t="s">
        <v>430</v>
      </c>
      <c r="X139" s="108">
        <f ca="1">X133*(X133+1)/4</f>
        <v>115.5</v>
      </c>
      <c r="AA139" s="8"/>
    </row>
    <row r="140" spans="2:27">
      <c r="B140" s="9"/>
      <c r="C140" t="s">
        <v>383</v>
      </c>
      <c r="D140" s="98">
        <f ca="1">MIN(H8:H28)</f>
        <v>1</v>
      </c>
      <c r="E140" s="5" t="s">
        <v>395</v>
      </c>
      <c r="F140" s="89" t="s">
        <v>395</v>
      </c>
      <c r="G140" s="89" t="str">
        <f ca="1">IF(G138&lt;G139,"no","yes")</f>
        <v>yes</v>
      </c>
      <c r="H140" t="s">
        <v>383</v>
      </c>
      <c r="I140" s="98">
        <f ca="1">MIN(H35:H55)</f>
        <v>2</v>
      </c>
      <c r="J140" s="5" t="s">
        <v>395</v>
      </c>
      <c r="K140" s="89" t="s">
        <v>395</v>
      </c>
      <c r="L140" s="89" t="str">
        <f ca="1">IF(L138&lt;L139,"no","yes")</f>
        <v>yes</v>
      </c>
      <c r="W140" t="s">
        <v>431</v>
      </c>
      <c r="X140" s="69">
        <f ca="1">SQRT(X139*(2*X133+1)/6-[1]!TiesCorrection(H8:H28,H35:H55,1)/48)</f>
        <v>28.755434269021222</v>
      </c>
      <c r="Y140" t="s">
        <v>432</v>
      </c>
      <c r="AA140" s="8"/>
    </row>
    <row r="141" spans="2:27">
      <c r="B141" s="9"/>
      <c r="C141" t="s">
        <v>384</v>
      </c>
      <c r="D141" s="98">
        <f ca="1">SUM(H8:H28)</f>
        <v>328</v>
      </c>
      <c r="H141" t="s">
        <v>384</v>
      </c>
      <c r="I141" s="98">
        <f ca="1">SUM(H35:H55)</f>
        <v>487</v>
      </c>
      <c r="W141" t="s">
        <v>433</v>
      </c>
      <c r="X141" s="69">
        <f ca="1">ABS(ABS(X136-X139)-1/2)/X140</f>
        <v>2.1039501415277808</v>
      </c>
      <c r="Y141" t="s">
        <v>434</v>
      </c>
      <c r="AA141" s="8"/>
    </row>
    <row r="142" spans="2:27">
      <c r="B142" s="76"/>
      <c r="C142" t="s">
        <v>385</v>
      </c>
      <c r="D142">
        <f ca="1">COUNT(H8:H28)</f>
        <v>21</v>
      </c>
      <c r="H142" s="1" t="s">
        <v>385</v>
      </c>
      <c r="I142">
        <f ca="1">COUNT(H35:H55)</f>
        <v>21</v>
      </c>
      <c r="W142" t="s">
        <v>435</v>
      </c>
      <c r="X142" s="69">
        <f ca="1">X141/SQRT(X133)</f>
        <v>0.45911956104590995</v>
      </c>
      <c r="AA142" s="8"/>
    </row>
    <row r="143" spans="2:27">
      <c r="B143" s="76"/>
      <c r="C143" t="s">
        <v>386</v>
      </c>
      <c r="D143">
        <f ca="1">GEOMEAN(H8:H28)</f>
        <v>10.794550817841873</v>
      </c>
      <c r="H143" s="1" t="s">
        <v>386</v>
      </c>
      <c r="I143">
        <f ca="1">GEOMEAN(H35:H55)</f>
        <v>17.760308539893114</v>
      </c>
      <c r="W143" t="s">
        <v>436</v>
      </c>
      <c r="X143" s="108">
        <f ca="1">1-_xlfn.NORM.S.DIST(X141,TRUE)</f>
        <v>1.7691398212762555E-2</v>
      </c>
      <c r="Y143" s="110">
        <f ca="1">2*X143</f>
        <v>3.5382796425525109E-2</v>
      </c>
      <c r="AA143" s="8"/>
    </row>
    <row r="144" spans="2:27">
      <c r="B144" s="76"/>
      <c r="C144" t="s">
        <v>387</v>
      </c>
      <c r="D144">
        <f ca="1">HARMEAN(H8:H28)</f>
        <v>6.4563842715892026</v>
      </c>
      <c r="H144" s="1" t="s">
        <v>387</v>
      </c>
      <c r="I144">
        <f ca="1">HARMEAN(H35:H55)</f>
        <v>10.611649527268948</v>
      </c>
      <c r="W144" t="s">
        <v>437</v>
      </c>
      <c r="X144" s="69">
        <f ca="1">[1]!SRDIST(X136,X133,1)</f>
        <v>1.5959739685058594E-2</v>
      </c>
      <c r="Y144" s="72">
        <f ca="1">2*X144</f>
        <v>3.1919479370117188E-2</v>
      </c>
      <c r="AA144" s="8"/>
    </row>
    <row r="145" spans="2:27">
      <c r="B145" s="76"/>
      <c r="C145" t="s">
        <v>388</v>
      </c>
      <c r="D145">
        <f ca="1">AVEDEV(H8:H28)</f>
        <v>10.172335600907029</v>
      </c>
      <c r="H145" s="1" t="s">
        <v>388</v>
      </c>
      <c r="I145">
        <f ca="1">AVEDEV(H35:H55)</f>
        <v>10.8843537414966</v>
      </c>
      <c r="W145" t="s">
        <v>438</v>
      </c>
      <c r="X145" s="109" t="s">
        <v>439</v>
      </c>
      <c r="Y145" s="111" t="s">
        <v>439</v>
      </c>
      <c r="AA145" s="8"/>
    </row>
    <row r="146" spans="2:27">
      <c r="B146" s="76"/>
      <c r="C146" t="s">
        <v>389</v>
      </c>
      <c r="D146">
        <f ca="1">[1]!MAD(H8:H28)</f>
        <v>10</v>
      </c>
      <c r="H146" s="1" t="s">
        <v>389</v>
      </c>
      <c r="I146">
        <f ca="1">[1]!MAD(H35:H55)</f>
        <v>11</v>
      </c>
      <c r="AA146" s="8"/>
    </row>
    <row r="147" spans="2:27">
      <c r="B147" s="79"/>
      <c r="C147" s="104" t="s">
        <v>390</v>
      </c>
      <c r="D147" s="104">
        <f ca="1">[1]!IQR(H8:H28,FALSE)</f>
        <v>19</v>
      </c>
      <c r="E147" s="80"/>
      <c r="F147" s="80"/>
      <c r="G147" s="80"/>
      <c r="H147" s="62" t="s">
        <v>390</v>
      </c>
      <c r="I147" s="5">
        <f ca="1">[1]!IQR(H35:H55,FALSE)</f>
        <v>21</v>
      </c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4"/>
    </row>
    <row r="150" spans="2:27">
      <c r="B150" s="82" t="s">
        <v>277</v>
      </c>
      <c r="C150" s="20" t="s">
        <v>371</v>
      </c>
      <c r="D150" s="20"/>
      <c r="E150" s="20" t="s">
        <v>391</v>
      </c>
      <c r="F150" s="20" t="s">
        <v>391</v>
      </c>
      <c r="G150" s="20"/>
      <c r="H150" s="75" t="s">
        <v>371</v>
      </c>
      <c r="I150" s="20"/>
      <c r="J150" s="20" t="s">
        <v>391</v>
      </c>
      <c r="K150" s="20" t="s">
        <v>391</v>
      </c>
      <c r="L150" s="20"/>
      <c r="M150" s="20" t="s">
        <v>398</v>
      </c>
      <c r="N150" s="20"/>
      <c r="O150" s="20"/>
      <c r="P150" s="20"/>
      <c r="Q150" s="20"/>
      <c r="R150" s="20"/>
      <c r="S150" s="20"/>
      <c r="T150" s="20"/>
      <c r="U150" s="20"/>
      <c r="V150" s="20"/>
      <c r="W150" s="20" t="s">
        <v>419</v>
      </c>
      <c r="X150" s="20"/>
      <c r="Y150" s="20"/>
      <c r="Z150" s="20"/>
      <c r="AA150" s="13"/>
    </row>
    <row r="151" spans="2:27">
      <c r="B151" s="76"/>
      <c r="H151" s="1"/>
      <c r="AA151" s="8"/>
    </row>
    <row r="152" spans="2:27" ht="15" thickBot="1">
      <c r="B152" s="76"/>
      <c r="C152" s="61"/>
      <c r="D152" s="61" t="s">
        <v>372</v>
      </c>
      <c r="E152" s="61"/>
      <c r="F152" s="88" t="s">
        <v>372</v>
      </c>
      <c r="G152" s="88" t="s">
        <v>372</v>
      </c>
      <c r="H152" s="60"/>
      <c r="I152" s="61" t="s">
        <v>372</v>
      </c>
      <c r="J152" s="61"/>
      <c r="K152" s="88" t="s">
        <v>372</v>
      </c>
      <c r="L152" s="88" t="s">
        <v>372</v>
      </c>
      <c r="M152" t="s">
        <v>399</v>
      </c>
      <c r="P152" t="s">
        <v>400</v>
      </c>
      <c r="Q152">
        <v>0.05</v>
      </c>
      <c r="S152" t="s">
        <v>401</v>
      </c>
      <c r="T152">
        <v>0</v>
      </c>
      <c r="X152" t="s">
        <v>420</v>
      </c>
      <c r="Y152" t="s">
        <v>421</v>
      </c>
      <c r="AA152" s="8"/>
    </row>
    <row r="153" spans="2:27" ht="15" thickTop="1">
      <c r="B153" s="76"/>
      <c r="C153" t="s">
        <v>373</v>
      </c>
      <c r="D153" s="91">
        <f ca="1">AVERAGE(I8:I28)</f>
        <v>3.3023809523809526</v>
      </c>
      <c r="E153" t="s">
        <v>392</v>
      </c>
      <c r="F153" t="s">
        <v>392</v>
      </c>
      <c r="G153">
        <f ca="1">[1]!SHAPIRO(I8:I28)</f>
        <v>0.86828387072355528</v>
      </c>
      <c r="H153" s="1" t="s">
        <v>373</v>
      </c>
      <c r="I153" s="91">
        <f ca="1">AVERAGE(I35:I55)</f>
        <v>5.8796190476190464</v>
      </c>
      <c r="J153" t="s">
        <v>392</v>
      </c>
      <c r="K153" t="s">
        <v>392</v>
      </c>
      <c r="L153">
        <f ca="1">[1]!SHAPIRO(I35:I55)</f>
        <v>0.93776619950380824</v>
      </c>
      <c r="M153" s="64" t="s">
        <v>402</v>
      </c>
      <c r="N153" s="64" t="s">
        <v>385</v>
      </c>
      <c r="O153" s="64" t="s">
        <v>373</v>
      </c>
      <c r="P153" s="64" t="s">
        <v>403</v>
      </c>
      <c r="Q153" s="64" t="s">
        <v>404</v>
      </c>
      <c r="R153" s="64" t="s">
        <v>405</v>
      </c>
      <c r="S153" s="64" t="s">
        <v>406</v>
      </c>
      <c r="T153" s="64" t="s">
        <v>407</v>
      </c>
      <c r="U153" s="64" t="s">
        <v>408</v>
      </c>
      <c r="W153" t="s">
        <v>422</v>
      </c>
      <c r="X153" s="93">
        <f ca="1">MEDIAN(I8:I28)</f>
        <v>1.7270000000000001</v>
      </c>
      <c r="Y153" s="94">
        <f ca="1">MEDIAN(I35:I55)</f>
        <v>4.4939999999999998</v>
      </c>
      <c r="AA153" s="8"/>
    </row>
    <row r="154" spans="2:27">
      <c r="B154" s="76"/>
      <c r="C154" t="s">
        <v>374</v>
      </c>
      <c r="D154">
        <f ca="1">_xlfn.STDEV.S(I8:I28)/SQRT(COUNT(I8:I28))</f>
        <v>0.67409369306460543</v>
      </c>
      <c r="E154" t="s">
        <v>393</v>
      </c>
      <c r="F154" t="s">
        <v>393</v>
      </c>
      <c r="G154">
        <f ca="1">[1]!SWTEST(I8:I28)</f>
        <v>8.9198007562678594E-3</v>
      </c>
      <c r="H154" s="1" t="s">
        <v>374</v>
      </c>
      <c r="I154">
        <f ca="1">_xlfn.STDEV.S(I35:I55)/SQRT(COUNT(I35:I55))</f>
        <v>0.71948271919480811</v>
      </c>
      <c r="J154" t="s">
        <v>393</v>
      </c>
      <c r="K154" t="s">
        <v>393</v>
      </c>
      <c r="L154">
        <f ca="1">[1]!SWTEST(I35:I55)</f>
        <v>0.19677828369114447</v>
      </c>
      <c r="M154" t="s">
        <v>372</v>
      </c>
      <c r="N154">
        <f ca="1">COUNT(I8:I28)</f>
        <v>21</v>
      </c>
      <c r="O154" s="91">
        <f ca="1">AVERAGE(I8:I28)</f>
        <v>3.3023809523809526</v>
      </c>
      <c r="P154">
        <f ca="1">_xlfn.STDEV.S(I8:I28)</f>
        <v>3.089085373960883</v>
      </c>
      <c r="AA154" s="8"/>
    </row>
    <row r="155" spans="2:27">
      <c r="B155" s="76"/>
      <c r="C155" t="s">
        <v>375</v>
      </c>
      <c r="D155" s="91">
        <f ca="1">MEDIAN(I8:I28)</f>
        <v>1.7270000000000001</v>
      </c>
      <c r="E155" t="s">
        <v>394</v>
      </c>
      <c r="F155" t="s">
        <v>394</v>
      </c>
      <c r="G155">
        <v>0.05</v>
      </c>
      <c r="H155" s="1" t="s">
        <v>375</v>
      </c>
      <c r="I155" s="91">
        <f ca="1">MEDIAN(I35:I55)</f>
        <v>4.4939999999999998</v>
      </c>
      <c r="J155" t="s">
        <v>394</v>
      </c>
      <c r="K155" t="s">
        <v>394</v>
      </c>
      <c r="L155">
        <v>0.05</v>
      </c>
      <c r="M155" t="s">
        <v>409</v>
      </c>
      <c r="N155">
        <f ca="1">COUNT(I35:I55)</f>
        <v>21</v>
      </c>
      <c r="O155" s="91">
        <f ca="1">AVERAGE(I35:I55)</f>
        <v>5.8796190476190464</v>
      </c>
      <c r="P155">
        <f ca="1">_xlfn.STDEV.S(I35:I55)</f>
        <v>3.2970840219228652</v>
      </c>
      <c r="W155" t="s">
        <v>423</v>
      </c>
      <c r="X155" s="68">
        <f ca="1">SUMPRODUCT(--ISNUMBER(I8:I28),--ISNUMBER(I35:I55))</f>
        <v>21</v>
      </c>
      <c r="AA155" s="8"/>
    </row>
    <row r="156" spans="2:27">
      <c r="B156" s="76"/>
      <c r="C156" t="s">
        <v>376</v>
      </c>
      <c r="D156" t="e">
        <f ca="1">MODE(I8:I28)</f>
        <v>#N/A</v>
      </c>
      <c r="E156" s="5" t="s">
        <v>395</v>
      </c>
      <c r="F156" s="89" t="s">
        <v>395</v>
      </c>
      <c r="G156" s="89" t="str">
        <f ca="1">IF(G154&lt;G155,"no","yes")</f>
        <v>no</v>
      </c>
      <c r="H156" s="1" t="s">
        <v>376</v>
      </c>
      <c r="I156" t="e">
        <f ca="1">MODE(I35:I55)</f>
        <v>#N/A</v>
      </c>
      <c r="J156" s="5" t="s">
        <v>395</v>
      </c>
      <c r="K156" s="89" t="s">
        <v>395</v>
      </c>
      <c r="L156" s="89" t="str">
        <f ca="1">IF(L154&lt;L155,"no","yes")</f>
        <v>yes</v>
      </c>
      <c r="M156" s="20" t="s">
        <v>410</v>
      </c>
      <c r="N156" s="20">
        <f ca="1">N155</f>
        <v>21</v>
      </c>
      <c r="O156" s="92">
        <f ca="1">O154-O155</f>
        <v>-2.5772380952380938</v>
      </c>
      <c r="P156" s="20">
        <f t="array" aca="1" ref="P156" ca="1">_xlfn.STDEV.S(I8:I28-I35:I55)</f>
        <v>3.4282297021168509</v>
      </c>
      <c r="Q156" s="20">
        <f ca="1">P156/SQRT(N156)</f>
        <v>0.74810105284030382</v>
      </c>
      <c r="R156" s="20">
        <f ca="1">(O154-O155-T152)/Q156</f>
        <v>-3.4450400590309735</v>
      </c>
      <c r="S156" s="20">
        <f ca="1">N156-1</f>
        <v>20</v>
      </c>
      <c r="T156" s="20">
        <f ca="1">ABS(O154-O155-T152)/P156</f>
        <v>0.75176937346021766</v>
      </c>
      <c r="U156" s="20">
        <f ca="1">SQRT(R156^2/(R156^2+S156))</f>
        <v>0.61025988234625395</v>
      </c>
      <c r="W156" t="s">
        <v>424</v>
      </c>
      <c r="X156" s="69">
        <f ca="1">SUMPRODUCT(--ISNUMBER(I8:I28),--ISNUMBER(I35:I55),--(I8:I28&lt;&gt;I35:I55))</f>
        <v>21</v>
      </c>
      <c r="AA156" s="8"/>
    </row>
    <row r="157" spans="2:27">
      <c r="B157" s="76"/>
      <c r="C157" t="s">
        <v>377</v>
      </c>
      <c r="D157">
        <f ca="1">_xlfn.STDEV.S(I8:I28)</f>
        <v>3.089085373960883</v>
      </c>
      <c r="H157" s="1" t="s">
        <v>377</v>
      </c>
      <c r="I157">
        <f ca="1">_xlfn.STDEV.S(I35:I55)</f>
        <v>3.2970840219228652</v>
      </c>
      <c r="W157" t="s">
        <v>425</v>
      </c>
      <c r="X157" s="69">
        <f ca="1">IF(X159&lt;=X162,X159,X156*(X156+1)/2)</f>
        <v>31</v>
      </c>
      <c r="AA157" s="8"/>
    </row>
    <row r="158" spans="2:27" ht="15" thickBot="1">
      <c r="B158" s="76"/>
      <c r="C158" t="s">
        <v>378</v>
      </c>
      <c r="D158">
        <f ca="1">_xlfn.VAR.S(I8:I28)</f>
        <v>9.5424484476190479</v>
      </c>
      <c r="E158" t="s">
        <v>396</v>
      </c>
      <c r="F158" t="s">
        <v>396</v>
      </c>
      <c r="H158" s="1" t="s">
        <v>378</v>
      </c>
      <c r="I158">
        <f ca="1">_xlfn.VAR.S(I35:I55)</f>
        <v>10.870763047619056</v>
      </c>
      <c r="J158" t="s">
        <v>396</v>
      </c>
      <c r="K158" t="s">
        <v>396</v>
      </c>
      <c r="M158" t="s">
        <v>411</v>
      </c>
      <c r="W158" t="s">
        <v>426</v>
      </c>
      <c r="X158" s="69">
        <f ca="1">X156*(X156+1)/2-X157</f>
        <v>200</v>
      </c>
      <c r="AA158" s="8"/>
    </row>
    <row r="159" spans="2:27" ht="15" thickTop="1">
      <c r="B159" s="76"/>
      <c r="C159" t="s">
        <v>379</v>
      </c>
      <c r="D159">
        <f ca="1">KURT(I8:I28)</f>
        <v>1.5328786276456516</v>
      </c>
      <c r="H159" s="1" t="s">
        <v>379</v>
      </c>
      <c r="I159">
        <f ca="1">KURT(I35:I55)</f>
        <v>-0.10682839876018368</v>
      </c>
      <c r="M159" s="64" t="s">
        <v>412</v>
      </c>
      <c r="N159" s="64" t="s">
        <v>393</v>
      </c>
      <c r="O159" s="64" t="s">
        <v>413</v>
      </c>
      <c r="P159" s="64" t="s">
        <v>414</v>
      </c>
      <c r="Q159" s="64" t="s">
        <v>415</v>
      </c>
      <c r="R159" s="64" t="s">
        <v>416</v>
      </c>
      <c r="W159" t="s">
        <v>427</v>
      </c>
      <c r="X159" s="70">
        <f ca="1">[1]!SRANK(I8:I28,I35:I55)</f>
        <v>31</v>
      </c>
      <c r="AA159" s="8"/>
    </row>
    <row r="160" spans="2:27">
      <c r="B160" s="76"/>
      <c r="C160" t="s">
        <v>380</v>
      </c>
      <c r="D160">
        <f ca="1">SKEW(I8:I28)</f>
        <v>1.1583813742217048</v>
      </c>
      <c r="E160" s="20" t="s">
        <v>397</v>
      </c>
      <c r="F160" s="90" t="s">
        <v>397</v>
      </c>
      <c r="G160" s="90">
        <f ca="1">[1]!DAGOSTINO(I8:I28)</f>
        <v>7.1686459026261069</v>
      </c>
      <c r="H160" s="1" t="s">
        <v>380</v>
      </c>
      <c r="I160">
        <f ca="1">SKEW(I35:I55)</f>
        <v>0.65986603388283283</v>
      </c>
      <c r="J160" s="20" t="s">
        <v>397</v>
      </c>
      <c r="K160" s="90" t="s">
        <v>397</v>
      </c>
      <c r="L160" s="90">
        <f ca="1">[1]!DAGOSTINO(I35:I55)</f>
        <v>1.834707490930199</v>
      </c>
      <c r="M160" t="s">
        <v>417</v>
      </c>
      <c r="N160">
        <f ca="1">_xlfn.T.DIST.RT(ABS(R156),S156)</f>
        <v>1.280399124609031E-3</v>
      </c>
      <c r="O160">
        <f ca="1">_xlfn.T.INV.2T(Q152*2,S156)</f>
        <v>1.7247182429207868</v>
      </c>
      <c r="R160" s="78" t="str">
        <f ca="1">IF(N160&lt;Q152,"yes","no")</f>
        <v>yes</v>
      </c>
      <c r="AA160" s="8"/>
    </row>
    <row r="161" spans="2:27">
      <c r="B161" s="76"/>
      <c r="C161" t="s">
        <v>381</v>
      </c>
      <c r="D161" s="77">
        <f ca="1">D162-D163</f>
        <v>11.941000000000001</v>
      </c>
      <c r="E161" t="s">
        <v>393</v>
      </c>
      <c r="F161" t="s">
        <v>393</v>
      </c>
      <c r="G161">
        <f ca="1">[1]!DPTEST(I8:I28)</f>
        <v>2.7755453063188495E-2</v>
      </c>
      <c r="H161" s="1" t="s">
        <v>381</v>
      </c>
      <c r="I161" s="77">
        <f ca="1">I162-I163</f>
        <v>12.459</v>
      </c>
      <c r="J161" t="s">
        <v>393</v>
      </c>
      <c r="K161" t="s">
        <v>393</v>
      </c>
      <c r="L161">
        <f ca="1">[1]!DPTEST(I35:I55)</f>
        <v>0.3995750204831422</v>
      </c>
      <c r="M161" t="s">
        <v>418</v>
      </c>
      <c r="N161">
        <f ca="1">_xlfn.T.DIST.2T(ABS(R156),S156)</f>
        <v>2.560798249218062E-3</v>
      </c>
      <c r="O161">
        <f ca="1">_xlfn.T.INV.2T(Q152,S156)</f>
        <v>2.0859634472658648</v>
      </c>
      <c r="P161">
        <f ca="1">(O154-O155)-Q156*O161</f>
        <v>-4.137749546324077</v>
      </c>
      <c r="Q161">
        <f ca="1">(O154-O155)+Q156*O161</f>
        <v>-1.0167266441521108</v>
      </c>
      <c r="R161" s="78" t="str">
        <f ca="1">IF(N161&lt;Q152,"yes","no")</f>
        <v>yes</v>
      </c>
      <c r="X161" s="78" t="s">
        <v>428</v>
      </c>
      <c r="Y161" s="78" t="s">
        <v>429</v>
      </c>
      <c r="AA161" s="8"/>
    </row>
    <row r="162" spans="2:27">
      <c r="B162" s="76"/>
      <c r="C162" t="s">
        <v>382</v>
      </c>
      <c r="D162" s="91">
        <f ca="1">MAX(I8:I28)</f>
        <v>12.066000000000001</v>
      </c>
      <c r="E162" t="s">
        <v>394</v>
      </c>
      <c r="F162" t="s">
        <v>394</v>
      </c>
      <c r="G162">
        <v>0.05</v>
      </c>
      <c r="H162" s="1" t="s">
        <v>382</v>
      </c>
      <c r="I162" s="91">
        <f ca="1">MAX(I35:I55)</f>
        <v>13.779</v>
      </c>
      <c r="J162" t="s">
        <v>394</v>
      </c>
      <c r="K162" t="s">
        <v>394</v>
      </c>
      <c r="L162">
        <v>0.05</v>
      </c>
      <c r="M162" s="20"/>
      <c r="N162" s="20"/>
      <c r="O162" s="20"/>
      <c r="P162" s="20"/>
      <c r="Q162" s="20"/>
      <c r="R162" s="20"/>
      <c r="W162" t="s">
        <v>430</v>
      </c>
      <c r="X162" s="68">
        <f ca="1">X156*(X156+1)/4</f>
        <v>115.5</v>
      </c>
      <c r="AA162" s="8"/>
    </row>
    <row r="163" spans="2:27">
      <c r="B163" s="9"/>
      <c r="C163" t="s">
        <v>383</v>
      </c>
      <c r="D163" s="91">
        <f ca="1">MIN(I8:I28)</f>
        <v>0.125</v>
      </c>
      <c r="E163" s="5" t="s">
        <v>395</v>
      </c>
      <c r="F163" s="89" t="s">
        <v>395</v>
      </c>
      <c r="G163" s="89" t="str">
        <f ca="1">IF(G161&lt;G162,"no","yes")</f>
        <v>no</v>
      </c>
      <c r="H163" t="s">
        <v>383</v>
      </c>
      <c r="I163" s="91">
        <f ca="1">MIN(I35:I55)</f>
        <v>1.32</v>
      </c>
      <c r="J163" s="5" t="s">
        <v>395</v>
      </c>
      <c r="K163" s="89" t="s">
        <v>395</v>
      </c>
      <c r="L163" s="89" t="str">
        <f ca="1">IF(L161&lt;L162,"no","yes")</f>
        <v>yes</v>
      </c>
      <c r="W163" t="s">
        <v>431</v>
      </c>
      <c r="X163" s="69">
        <f ca="1">SQRT(X162*(2*X156+1)/6-[1]!TiesCorrection(I8:I28,I35:I55,1)/48)</f>
        <v>28.770644761631605</v>
      </c>
      <c r="Y163" t="s">
        <v>432</v>
      </c>
      <c r="AA163" s="8"/>
    </row>
    <row r="164" spans="2:27">
      <c r="B164" s="9"/>
      <c r="C164" t="s">
        <v>384</v>
      </c>
      <c r="D164" s="91">
        <f ca="1">SUM(I8:I28)</f>
        <v>69.350000000000009</v>
      </c>
      <c r="H164" t="s">
        <v>384</v>
      </c>
      <c r="I164" s="91">
        <f ca="1">SUM(I35:I55)</f>
        <v>123.47199999999998</v>
      </c>
      <c r="W164" t="s">
        <v>433</v>
      </c>
      <c r="X164" s="69">
        <f ca="1">ABS(ABS(X159-X162)-1/2)/X163</f>
        <v>2.9196425973748772</v>
      </c>
      <c r="Y164" t="s">
        <v>434</v>
      </c>
      <c r="AA164" s="8"/>
    </row>
    <row r="165" spans="2:27">
      <c r="B165" s="76"/>
      <c r="C165" t="s">
        <v>385</v>
      </c>
      <c r="D165">
        <f ca="1">COUNT(I8:I28)</f>
        <v>21</v>
      </c>
      <c r="H165" s="1" t="s">
        <v>385</v>
      </c>
      <c r="I165">
        <f ca="1">COUNT(I35:I55)</f>
        <v>21</v>
      </c>
      <c r="W165" t="s">
        <v>435</v>
      </c>
      <c r="X165" s="69">
        <f ca="1">X164/SQRT(X156)</f>
        <v>0.63711824784227866</v>
      </c>
      <c r="AA165" s="8"/>
    </row>
    <row r="166" spans="2:27">
      <c r="B166" s="76"/>
      <c r="C166" t="s">
        <v>386</v>
      </c>
      <c r="D166">
        <f ca="1">GEOMEAN(I8:I28)</f>
        <v>1.7383585398893349</v>
      </c>
      <c r="H166" s="1" t="s">
        <v>386</v>
      </c>
      <c r="I166">
        <f ca="1">GEOMEAN(I35:I55)</f>
        <v>4.9614619187644182</v>
      </c>
      <c r="W166" t="s">
        <v>436</v>
      </c>
      <c r="X166" s="68">
        <f ca="1">1-_xlfn.NORM.S.DIST(X164,TRUE)</f>
        <v>1.7521651436331886E-3</v>
      </c>
      <c r="Y166" s="71">
        <f ca="1">2*X166</f>
        <v>3.5043302872663773E-3</v>
      </c>
      <c r="AA166" s="8"/>
    </row>
    <row r="167" spans="2:27">
      <c r="B167" s="76"/>
      <c r="C167" t="s">
        <v>387</v>
      </c>
      <c r="D167">
        <f ca="1">HARMEAN(I8:I28)</f>
        <v>0.62851799139366293</v>
      </c>
      <c r="H167" s="1" t="s">
        <v>387</v>
      </c>
      <c r="I167">
        <f ca="1">HARMEAN(I35:I55)</f>
        <v>4.0530833428534656</v>
      </c>
      <c r="W167" t="s">
        <v>437</v>
      </c>
      <c r="X167" s="69">
        <f ca="1">[1]!SRDIST(X159,X156,1)</f>
        <v>1.07574462890625E-3</v>
      </c>
      <c r="Y167" s="72">
        <f ca="1">2*X167</f>
        <v>2.1514892578125E-3</v>
      </c>
      <c r="AA167" s="8"/>
    </row>
    <row r="168" spans="2:27">
      <c r="B168" s="76"/>
      <c r="C168" t="s">
        <v>388</v>
      </c>
      <c r="D168">
        <f ca="1">AVEDEV(I8:I28)</f>
        <v>2.5528163265306123</v>
      </c>
      <c r="H168" s="1" t="s">
        <v>388</v>
      </c>
      <c r="I168">
        <f ca="1">AVEDEV(I35:I55)</f>
        <v>2.7052199546485252</v>
      </c>
      <c r="W168" t="s">
        <v>438</v>
      </c>
      <c r="X168" s="70" t="s">
        <v>439</v>
      </c>
      <c r="Y168" s="73" t="s">
        <v>439</v>
      </c>
      <c r="AA168" s="8"/>
    </row>
    <row r="169" spans="2:27">
      <c r="B169" s="76"/>
      <c r="C169" t="s">
        <v>389</v>
      </c>
      <c r="D169">
        <f ca="1">[1]!MAD(I8:I28)</f>
        <v>1.5960000000000001</v>
      </c>
      <c r="H169" s="1" t="s">
        <v>389</v>
      </c>
      <c r="I169">
        <f ca="1">[1]!MAD(I35:I55)</f>
        <v>2.1800000000000006</v>
      </c>
      <c r="AA169" s="8"/>
    </row>
    <row r="170" spans="2:27">
      <c r="B170" s="79"/>
      <c r="C170" s="5" t="s">
        <v>390</v>
      </c>
      <c r="D170" s="5">
        <f ca="1">[1]!IQR(I8:I28,FALSE)</f>
        <v>4.609</v>
      </c>
      <c r="E170" s="80"/>
      <c r="F170" s="80"/>
      <c r="G170" s="80"/>
      <c r="H170" s="62" t="s">
        <v>390</v>
      </c>
      <c r="I170" s="5">
        <f ca="1">[1]!IQR(I35:I55,FALSE)</f>
        <v>4.4229999999999992</v>
      </c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4"/>
    </row>
    <row r="173" spans="2:27">
      <c r="B173" s="95" t="s">
        <v>279</v>
      </c>
      <c r="C173" s="20" t="s">
        <v>371</v>
      </c>
      <c r="D173" s="20"/>
      <c r="E173" s="20" t="s">
        <v>391</v>
      </c>
      <c r="F173" s="20" t="s">
        <v>391</v>
      </c>
      <c r="G173" s="20"/>
      <c r="H173" s="75" t="s">
        <v>371</v>
      </c>
      <c r="I173" s="20"/>
      <c r="J173" s="20" t="s">
        <v>391</v>
      </c>
      <c r="K173" s="20" t="s">
        <v>391</v>
      </c>
      <c r="L173" s="20"/>
      <c r="M173" s="20" t="s">
        <v>398</v>
      </c>
      <c r="N173" s="20"/>
      <c r="O173" s="20"/>
      <c r="P173" s="20"/>
      <c r="Q173" s="20"/>
      <c r="R173" s="20"/>
      <c r="S173" s="20"/>
      <c r="T173" s="20"/>
      <c r="U173" s="20"/>
      <c r="V173" s="20"/>
      <c r="W173" s="20" t="s">
        <v>419</v>
      </c>
      <c r="X173" s="20"/>
      <c r="Y173" s="20"/>
      <c r="Z173" s="20"/>
      <c r="AA173" s="13"/>
    </row>
    <row r="174" spans="2:27">
      <c r="B174" s="76"/>
      <c r="H174" s="1"/>
      <c r="AA174" s="8"/>
    </row>
    <row r="175" spans="2:27" ht="15" thickBot="1">
      <c r="B175" s="76"/>
      <c r="C175" s="61"/>
      <c r="D175" s="61" t="s">
        <v>372</v>
      </c>
      <c r="E175" s="61"/>
      <c r="F175" s="88" t="s">
        <v>372</v>
      </c>
      <c r="G175" s="88" t="s">
        <v>372</v>
      </c>
      <c r="H175" s="60"/>
      <c r="I175" s="61" t="s">
        <v>372</v>
      </c>
      <c r="J175" s="61"/>
      <c r="K175" s="88" t="s">
        <v>372</v>
      </c>
      <c r="L175" s="88" t="s">
        <v>372</v>
      </c>
      <c r="M175" t="s">
        <v>399</v>
      </c>
      <c r="P175" t="s">
        <v>400</v>
      </c>
      <c r="Q175">
        <v>0.05</v>
      </c>
      <c r="S175" t="s">
        <v>401</v>
      </c>
      <c r="T175">
        <v>0</v>
      </c>
      <c r="X175" t="s">
        <v>420</v>
      </c>
      <c r="Y175" t="s">
        <v>421</v>
      </c>
      <c r="AA175" s="8"/>
    </row>
    <row r="176" spans="2:27" ht="15" thickTop="1">
      <c r="B176" s="76"/>
      <c r="C176" t="s">
        <v>373</v>
      </c>
      <c r="D176" s="98">
        <f ca="1">AVERAGE(J8:J28)</f>
        <v>8.1658666666666644</v>
      </c>
      <c r="E176" t="s">
        <v>392</v>
      </c>
      <c r="F176" t="s">
        <v>392</v>
      </c>
      <c r="G176">
        <f ca="1">[1]!SHAPIRO(J8:J28)</f>
        <v>0.90351403723802526</v>
      </c>
      <c r="H176" s="1" t="s">
        <v>373</v>
      </c>
      <c r="I176" s="98">
        <f ca="1">AVERAGE(J35:J55)</f>
        <v>8.8922761904761902</v>
      </c>
      <c r="J176" t="s">
        <v>392</v>
      </c>
      <c r="K176" t="s">
        <v>392</v>
      </c>
      <c r="L176">
        <f ca="1">[1]!SHAPIRO(J35:J55)</f>
        <v>0.96970409369580712</v>
      </c>
      <c r="M176" s="64" t="s">
        <v>402</v>
      </c>
      <c r="N176" s="64" t="s">
        <v>385</v>
      </c>
      <c r="O176" s="64" t="s">
        <v>373</v>
      </c>
      <c r="P176" s="64" t="s">
        <v>403</v>
      </c>
      <c r="Q176" s="64" t="s">
        <v>404</v>
      </c>
      <c r="R176" s="64" t="s">
        <v>405</v>
      </c>
      <c r="S176" s="64" t="s">
        <v>406</v>
      </c>
      <c r="T176" s="64" t="s">
        <v>407</v>
      </c>
      <c r="U176" s="64" t="s">
        <v>408</v>
      </c>
      <c r="W176" t="s">
        <v>422</v>
      </c>
      <c r="X176" s="100">
        <f ca="1">MEDIAN(J8:J28)</f>
        <v>7.3685999999999998</v>
      </c>
      <c r="Y176" s="101">
        <f ca="1">MEDIAN(J35:J55)</f>
        <v>8.9167000000000005</v>
      </c>
      <c r="AA176" s="8"/>
    </row>
    <row r="177" spans="2:27">
      <c r="B177" s="76"/>
      <c r="C177" t="s">
        <v>374</v>
      </c>
      <c r="D177">
        <f ca="1">_xlfn.STDEV.S(J8:J28)/SQRT(COUNT(J8:J28))</f>
        <v>1.1856445212733029</v>
      </c>
      <c r="E177" t="s">
        <v>393</v>
      </c>
      <c r="F177" t="s">
        <v>393</v>
      </c>
      <c r="G177">
        <f ca="1">[1]!SWTEST(J8:J28)</f>
        <v>4.0957251606852707E-2</v>
      </c>
      <c r="H177" s="1" t="s">
        <v>374</v>
      </c>
      <c r="I177">
        <f ca="1">_xlfn.STDEV.S(J35:J55)/SQRT(COUNT(J35:J55))</f>
        <v>1.1028265290974733</v>
      </c>
      <c r="J177" t="s">
        <v>393</v>
      </c>
      <c r="K177" t="s">
        <v>393</v>
      </c>
      <c r="L177">
        <f ca="1">[1]!SWTEST(J35:J55)</f>
        <v>0.72647374255519592</v>
      </c>
      <c r="M177" t="s">
        <v>372</v>
      </c>
      <c r="N177">
        <f ca="1">COUNT(J8:J28)</f>
        <v>21</v>
      </c>
      <c r="O177" s="98">
        <f ca="1">AVERAGE(J8:J28)</f>
        <v>8.1658666666666644</v>
      </c>
      <c r="P177">
        <f ca="1">_xlfn.STDEV.S(J8:J28)</f>
        <v>5.4333057660445903</v>
      </c>
      <c r="AA177" s="8"/>
    </row>
    <row r="178" spans="2:27">
      <c r="B178" s="76"/>
      <c r="C178" t="s">
        <v>375</v>
      </c>
      <c r="D178" s="98">
        <f ca="1">MEDIAN(J8:J28)</f>
        <v>7.3685999999999998</v>
      </c>
      <c r="E178" t="s">
        <v>394</v>
      </c>
      <c r="F178" t="s">
        <v>394</v>
      </c>
      <c r="G178">
        <v>0.05</v>
      </c>
      <c r="H178" s="1" t="s">
        <v>375</v>
      </c>
      <c r="I178" s="98">
        <f ca="1">MEDIAN(J35:J55)</f>
        <v>8.9167000000000005</v>
      </c>
      <c r="J178" t="s">
        <v>394</v>
      </c>
      <c r="K178" t="s">
        <v>394</v>
      </c>
      <c r="L178">
        <v>0.05</v>
      </c>
      <c r="M178" t="s">
        <v>409</v>
      </c>
      <c r="N178">
        <f ca="1">COUNT(J35:J55)</f>
        <v>21</v>
      </c>
      <c r="O178" s="98">
        <f ca="1">AVERAGE(J35:J55)</f>
        <v>8.8922761904761902</v>
      </c>
      <c r="P178">
        <f ca="1">_xlfn.STDEV.S(J35:J55)</f>
        <v>5.0537860479945902</v>
      </c>
      <c r="W178" t="s">
        <v>423</v>
      </c>
      <c r="X178" s="68">
        <f ca="1">SUMPRODUCT(--ISNUMBER(J8:J28),--ISNUMBER(J35:J55))</f>
        <v>21</v>
      </c>
      <c r="AA178" s="8"/>
    </row>
    <row r="179" spans="2:27">
      <c r="B179" s="76"/>
      <c r="C179" t="s">
        <v>376</v>
      </c>
      <c r="D179">
        <f ca="1">MODE(J8:J28)</f>
        <v>6.4443000000000001</v>
      </c>
      <c r="E179" s="5" t="s">
        <v>395</v>
      </c>
      <c r="F179" s="89" t="s">
        <v>395</v>
      </c>
      <c r="G179" s="89" t="str">
        <f ca="1">IF(G177&lt;G178,"no","yes")</f>
        <v>no</v>
      </c>
      <c r="H179" s="1" t="s">
        <v>376</v>
      </c>
      <c r="I179" t="e">
        <f ca="1">MODE(J35:J55)</f>
        <v>#N/A</v>
      </c>
      <c r="J179" s="5" t="s">
        <v>395</v>
      </c>
      <c r="K179" s="89" t="s">
        <v>395</v>
      </c>
      <c r="L179" s="89" t="str">
        <f ca="1">IF(L177&lt;L178,"no","yes")</f>
        <v>yes</v>
      </c>
      <c r="M179" s="20" t="s">
        <v>410</v>
      </c>
      <c r="N179" s="20">
        <f ca="1">N178</f>
        <v>21</v>
      </c>
      <c r="O179" s="99">
        <f ca="1">O177-O178</f>
        <v>-0.72640952380952584</v>
      </c>
      <c r="P179" s="20">
        <f t="array" aca="1" ref="P179" ca="1">_xlfn.STDEV.S(J8:J28-J35:J55)</f>
        <v>6.070987287163824</v>
      </c>
      <c r="Q179" s="20">
        <f ca="1">P179/SQRT(N179)</f>
        <v>1.3247980374544206</v>
      </c>
      <c r="R179" s="20">
        <f ca="1">(O177-O178-T175)/Q179</f>
        <v>-0.54831717988147899</v>
      </c>
      <c r="S179" s="20">
        <f ca="1">N179-1</f>
        <v>20</v>
      </c>
      <c r="T179" s="20">
        <f ca="1">ABS(O177-O178-T175)/P179</f>
        <v>0.11965261817388548</v>
      </c>
      <c r="U179" s="20">
        <f ca="1">SQRT(R179^2/(R179^2+S179))</f>
        <v>0.12169615673794087</v>
      </c>
      <c r="W179" t="s">
        <v>424</v>
      </c>
      <c r="X179" s="69">
        <f ca="1">SUMPRODUCT(--ISNUMBER(J8:J28),--ISNUMBER(J35:J55),--(J8:J28&lt;&gt;J35:J55))</f>
        <v>21</v>
      </c>
      <c r="AA179" s="8"/>
    </row>
    <row r="180" spans="2:27">
      <c r="B180" s="76"/>
      <c r="C180" t="s">
        <v>377</v>
      </c>
      <c r="D180">
        <f ca="1">_xlfn.STDEV.S(J8:J28)</f>
        <v>5.4333057660445903</v>
      </c>
      <c r="H180" s="1" t="s">
        <v>377</v>
      </c>
      <c r="I180">
        <f ca="1">_xlfn.STDEV.S(J35:J55)</f>
        <v>5.0537860479945902</v>
      </c>
      <c r="W180" t="s">
        <v>425</v>
      </c>
      <c r="X180" s="69">
        <f ca="1">IF(X182&lt;=X185,X182,X179*(X179+1)/2)</f>
        <v>100</v>
      </c>
      <c r="AA180" s="8"/>
    </row>
    <row r="181" spans="2:27" ht="15" thickBot="1">
      <c r="B181" s="76"/>
      <c r="C181" t="s">
        <v>378</v>
      </c>
      <c r="D181">
        <f ca="1">_xlfn.VAR.S(J8:J28)</f>
        <v>29.520811547333391</v>
      </c>
      <c r="E181" t="s">
        <v>396</v>
      </c>
      <c r="F181" t="s">
        <v>396</v>
      </c>
      <c r="H181" s="1" t="s">
        <v>378</v>
      </c>
      <c r="I181">
        <f ca="1">_xlfn.VAR.S(J35:J55)</f>
        <v>25.540753418904774</v>
      </c>
      <c r="J181" t="s">
        <v>396</v>
      </c>
      <c r="K181" t="s">
        <v>396</v>
      </c>
      <c r="M181" t="s">
        <v>411</v>
      </c>
      <c r="W181" t="s">
        <v>426</v>
      </c>
      <c r="X181" s="69">
        <f ca="1">X179*(X179+1)/2-X180</f>
        <v>131</v>
      </c>
      <c r="AA181" s="8"/>
    </row>
    <row r="182" spans="2:27" ht="15" thickTop="1">
      <c r="B182" s="76"/>
      <c r="C182" t="s">
        <v>379</v>
      </c>
      <c r="D182">
        <f ca="1">KURT(J8:J28)</f>
        <v>2.1590789981632752</v>
      </c>
      <c r="H182" s="1" t="s">
        <v>379</v>
      </c>
      <c r="I182">
        <f ca="1">KURT(J35:J55)</f>
        <v>-0.10071826716414289</v>
      </c>
      <c r="M182" s="64" t="s">
        <v>412</v>
      </c>
      <c r="N182" s="64" t="s">
        <v>393</v>
      </c>
      <c r="O182" s="64" t="s">
        <v>413</v>
      </c>
      <c r="P182" s="64" t="s">
        <v>414</v>
      </c>
      <c r="Q182" s="64" t="s">
        <v>415</v>
      </c>
      <c r="R182" s="64" t="s">
        <v>416</v>
      </c>
      <c r="W182" t="s">
        <v>427</v>
      </c>
      <c r="X182" s="70">
        <f ca="1">[1]!SRANK(J8:J28,J35:J55)</f>
        <v>100</v>
      </c>
      <c r="AA182" s="8"/>
    </row>
    <row r="183" spans="2:27">
      <c r="B183" s="76"/>
      <c r="C183" t="s">
        <v>380</v>
      </c>
      <c r="D183">
        <f ca="1">SKEW(J8:J28)</f>
        <v>1.2630947931100338</v>
      </c>
      <c r="E183" s="20" t="s">
        <v>397</v>
      </c>
      <c r="F183" s="90" t="s">
        <v>397</v>
      </c>
      <c r="G183" s="90">
        <f ca="1">[1]!DAGOSTINO(J8:J28)</f>
        <v>9.0729331813772642</v>
      </c>
      <c r="H183" s="1" t="s">
        <v>380</v>
      </c>
      <c r="I183">
        <f ca="1">SKEW(J35:J55)</f>
        <v>0.37196015278792921</v>
      </c>
      <c r="J183" s="20" t="s">
        <v>397</v>
      </c>
      <c r="K183" s="90" t="s">
        <v>397</v>
      </c>
      <c r="L183" s="90">
        <f ca="1">[1]!DAGOSTINO(J35:J55)</f>
        <v>0.62156039914724381</v>
      </c>
      <c r="M183" t="s">
        <v>417</v>
      </c>
      <c r="N183">
        <f ca="1">_xlfn.T.DIST.RT(ABS(R179),S179)</f>
        <v>0.2947714281534185</v>
      </c>
      <c r="O183">
        <f ca="1">_xlfn.T.INV.2T(Q175*2,S179)</f>
        <v>1.7247182429207868</v>
      </c>
      <c r="R183" s="78" t="str">
        <f ca="1">IF(N183&lt;Q175,"yes","no")</f>
        <v>no</v>
      </c>
      <c r="AA183" s="8"/>
    </row>
    <row r="184" spans="2:27">
      <c r="B184" s="76"/>
      <c r="C184" t="s">
        <v>381</v>
      </c>
      <c r="D184" s="77">
        <f ca="1">D185-D186</f>
        <v>22.345400000000001</v>
      </c>
      <c r="E184" t="s">
        <v>393</v>
      </c>
      <c r="F184" t="s">
        <v>393</v>
      </c>
      <c r="G184">
        <f ca="1">[1]!DPTEST(J8:J28)</f>
        <v>1.0711186774808867E-2</v>
      </c>
      <c r="H184" s="1" t="s">
        <v>381</v>
      </c>
      <c r="I184" s="77">
        <f ca="1">I185-I186</f>
        <v>19.200600000000001</v>
      </c>
      <c r="J184" t="s">
        <v>393</v>
      </c>
      <c r="K184" t="s">
        <v>393</v>
      </c>
      <c r="L184">
        <f ca="1">[1]!DPTEST(J35:J55)</f>
        <v>0.73287494439247824</v>
      </c>
      <c r="M184" t="s">
        <v>418</v>
      </c>
      <c r="N184">
        <f ca="1">_xlfn.T.DIST.2T(ABS(R179),S179)</f>
        <v>0.589542856306837</v>
      </c>
      <c r="O184">
        <f ca="1">_xlfn.T.INV.2T(Q175,S179)</f>
        <v>2.0859634472658648</v>
      </c>
      <c r="P184">
        <f ca="1">(O177-O178)-Q179*O184</f>
        <v>-3.4898898049490015</v>
      </c>
      <c r="Q184">
        <f ca="1">(O177-O178)+Q179*O184</f>
        <v>2.0370707573299498</v>
      </c>
      <c r="R184" s="78" t="str">
        <f ca="1">IF(N184&lt;Q175,"yes","no")</f>
        <v>no</v>
      </c>
      <c r="X184" s="78" t="s">
        <v>428</v>
      </c>
      <c r="Y184" s="78" t="s">
        <v>429</v>
      </c>
      <c r="AA184" s="8"/>
    </row>
    <row r="185" spans="2:27">
      <c r="B185" s="76"/>
      <c r="C185" t="s">
        <v>382</v>
      </c>
      <c r="D185" s="98">
        <f ca="1">MAX(J8:J28)</f>
        <v>23.3795</v>
      </c>
      <c r="E185" t="s">
        <v>394</v>
      </c>
      <c r="F185" t="s">
        <v>394</v>
      </c>
      <c r="G185">
        <v>0.05</v>
      </c>
      <c r="H185" s="1" t="s">
        <v>382</v>
      </c>
      <c r="I185" s="98">
        <f ca="1">MAX(J35:J55)</f>
        <v>20.440300000000001</v>
      </c>
      <c r="J185" t="s">
        <v>394</v>
      </c>
      <c r="K185" t="s">
        <v>394</v>
      </c>
      <c r="L185">
        <v>0.05</v>
      </c>
      <c r="M185" s="20"/>
      <c r="N185" s="20"/>
      <c r="O185" s="20"/>
      <c r="P185" s="20"/>
      <c r="Q185" s="20"/>
      <c r="R185" s="20"/>
      <c r="W185" t="s">
        <v>430</v>
      </c>
      <c r="X185" s="68">
        <f ca="1">X179*(X179+1)/4</f>
        <v>115.5</v>
      </c>
      <c r="AA185" s="8"/>
    </row>
    <row r="186" spans="2:27">
      <c r="B186" s="9"/>
      <c r="C186" t="s">
        <v>383</v>
      </c>
      <c r="D186" s="98">
        <f ca="1">MIN(J8:J28)</f>
        <v>1.0341</v>
      </c>
      <c r="E186" s="5" t="s">
        <v>395</v>
      </c>
      <c r="F186" s="89" t="s">
        <v>395</v>
      </c>
      <c r="G186" s="89" t="str">
        <f ca="1">IF(G184&lt;G185,"no","yes")</f>
        <v>no</v>
      </c>
      <c r="H186" t="s">
        <v>383</v>
      </c>
      <c r="I186" s="98">
        <f ca="1">MIN(J35:J55)</f>
        <v>1.2397</v>
      </c>
      <c r="J186" s="5" t="s">
        <v>395</v>
      </c>
      <c r="K186" s="89" t="s">
        <v>395</v>
      </c>
      <c r="L186" s="89" t="str">
        <f ca="1">IF(L184&lt;L185,"no","yes")</f>
        <v>yes</v>
      </c>
      <c r="W186" t="s">
        <v>431</v>
      </c>
      <c r="X186" s="69">
        <f ca="1">SQRT(X185*(2*X179+1)/6-[1]!TiesCorrection(J8:J28,J35:J55,1)/48)</f>
        <v>28.770644761631605</v>
      </c>
      <c r="Y186" t="s">
        <v>432</v>
      </c>
      <c r="AA186" s="8"/>
    </row>
    <row r="187" spans="2:27">
      <c r="B187" s="9"/>
      <c r="C187" t="s">
        <v>384</v>
      </c>
      <c r="D187" s="98">
        <f ca="1">SUM(J8:J28)</f>
        <v>171.48319999999995</v>
      </c>
      <c r="H187" t="s">
        <v>384</v>
      </c>
      <c r="I187" s="98">
        <f ca="1">SUM(J35:J55)</f>
        <v>186.73779999999999</v>
      </c>
      <c r="W187" t="s">
        <v>433</v>
      </c>
      <c r="X187" s="69">
        <f ca="1">ABS(ABS(X182-X185)-1/2)/X186</f>
        <v>0.52136474953122802</v>
      </c>
      <c r="Y187" t="s">
        <v>434</v>
      </c>
      <c r="AA187" s="8"/>
    </row>
    <row r="188" spans="2:27">
      <c r="B188" s="76"/>
      <c r="C188" t="s">
        <v>385</v>
      </c>
      <c r="D188">
        <f ca="1">COUNT(J8:J28)</f>
        <v>21</v>
      </c>
      <c r="H188" s="1" t="s">
        <v>385</v>
      </c>
      <c r="I188">
        <f ca="1">COUNT(J35:J55)</f>
        <v>21</v>
      </c>
      <c r="W188" t="s">
        <v>435</v>
      </c>
      <c r="X188" s="69">
        <f ca="1">X187/SQRT(X179)</f>
        <v>0.11377111568612118</v>
      </c>
      <c r="AA188" s="8"/>
    </row>
    <row r="189" spans="2:27">
      <c r="B189" s="76"/>
      <c r="C189" t="s">
        <v>386</v>
      </c>
      <c r="D189">
        <f ca="1">GEOMEAN(J8:J28)</f>
        <v>6.4296262345033721</v>
      </c>
      <c r="H189" s="1" t="s">
        <v>386</v>
      </c>
      <c r="I189">
        <f ca="1">GEOMEAN(J35:J55)</f>
        <v>7.1425707062626023</v>
      </c>
      <c r="W189" t="s">
        <v>436</v>
      </c>
      <c r="X189" s="68">
        <f ca="1">1-_xlfn.NORM.S.DIST(X187,TRUE)</f>
        <v>0.30105635142242759</v>
      </c>
      <c r="Y189" s="71">
        <f ca="1">2*X189</f>
        <v>0.60211270284485519</v>
      </c>
      <c r="AA189" s="8"/>
    </row>
    <row r="190" spans="2:27">
      <c r="B190" s="76"/>
      <c r="C190" t="s">
        <v>387</v>
      </c>
      <c r="D190">
        <f ca="1">HARMEAN(J8:J28)</f>
        <v>4.6240063693177973</v>
      </c>
      <c r="H190" s="1" t="s">
        <v>387</v>
      </c>
      <c r="I190">
        <f ca="1">HARMEAN(J35:J55)</f>
        <v>5.0516305845973086</v>
      </c>
      <c r="W190" t="s">
        <v>437</v>
      </c>
      <c r="X190" s="69">
        <f ca="1">[1]!SRDIST(X182,X179,1)</f>
        <v>0.30457448959350586</v>
      </c>
      <c r="Y190" s="72">
        <f ca="1">2*X190</f>
        <v>0.60914897918701172</v>
      </c>
      <c r="AA190" s="8"/>
    </row>
    <row r="191" spans="2:27">
      <c r="B191" s="76"/>
      <c r="C191" t="s">
        <v>388</v>
      </c>
      <c r="D191">
        <f ca="1">AVEDEV(J8:J28)</f>
        <v>3.9481333333333333</v>
      </c>
      <c r="H191" s="1" t="s">
        <v>388</v>
      </c>
      <c r="I191">
        <f ca="1">AVEDEV(J35:J55)</f>
        <v>3.8997963718820872</v>
      </c>
      <c r="W191" t="s">
        <v>438</v>
      </c>
      <c r="X191" s="70" t="s">
        <v>439</v>
      </c>
      <c r="Y191" s="73" t="s">
        <v>439</v>
      </c>
      <c r="AA191" s="8"/>
    </row>
    <row r="192" spans="2:27">
      <c r="B192" s="76"/>
      <c r="C192" t="s">
        <v>389</v>
      </c>
      <c r="D192">
        <f ca="1">[1]!MAD(J8:J28)</f>
        <v>2.5977000000000006</v>
      </c>
      <c r="H192" s="1" t="s">
        <v>389</v>
      </c>
      <c r="I192">
        <f ca="1">[1]!MAD(J35:J55)</f>
        <v>3.996599999999999</v>
      </c>
      <c r="AA192" s="8"/>
    </row>
    <row r="193" spans="2:27">
      <c r="B193" s="79"/>
      <c r="C193" s="5" t="s">
        <v>390</v>
      </c>
      <c r="D193" s="5">
        <f ca="1">[1]!IQR(J8:J28,FALSE)</f>
        <v>4.8457000000000008</v>
      </c>
      <c r="E193" s="80"/>
      <c r="F193" s="80"/>
      <c r="G193" s="80"/>
      <c r="H193" s="62" t="s">
        <v>390</v>
      </c>
      <c r="I193" s="5">
        <f ca="1">[1]!IQR(J35:J55,FALSE)</f>
        <v>6.9092999999999991</v>
      </c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4"/>
    </row>
    <row r="196" spans="2:27">
      <c r="B196" s="102" t="s">
        <v>219</v>
      </c>
      <c r="C196" s="20" t="s">
        <v>371</v>
      </c>
      <c r="D196" s="20"/>
      <c r="E196" s="20" t="s">
        <v>391</v>
      </c>
      <c r="F196" s="20" t="s">
        <v>391</v>
      </c>
      <c r="G196" s="20"/>
      <c r="H196" s="75" t="s">
        <v>371</v>
      </c>
      <c r="I196" s="20"/>
      <c r="J196" s="20" t="s">
        <v>391</v>
      </c>
      <c r="K196" s="20" t="s">
        <v>391</v>
      </c>
      <c r="L196" s="20"/>
      <c r="M196" s="20" t="s">
        <v>398</v>
      </c>
      <c r="N196" s="20"/>
      <c r="O196" s="20"/>
      <c r="P196" s="20"/>
      <c r="Q196" s="20"/>
      <c r="R196" s="20"/>
      <c r="S196" s="20"/>
      <c r="T196" s="20"/>
      <c r="U196" s="20"/>
      <c r="V196" s="20"/>
      <c r="W196" s="20" t="s">
        <v>419</v>
      </c>
      <c r="X196" s="20"/>
      <c r="Y196" s="20"/>
      <c r="Z196" s="20"/>
      <c r="AA196" s="13"/>
    </row>
    <row r="197" spans="2:27">
      <c r="B197" s="76"/>
      <c r="H197" s="1"/>
      <c r="AA197" s="8"/>
    </row>
    <row r="198" spans="2:27" ht="15" thickBot="1">
      <c r="B198" s="76"/>
      <c r="C198" s="61"/>
      <c r="D198" s="61" t="s">
        <v>372</v>
      </c>
      <c r="E198" s="61"/>
      <c r="F198" s="88" t="s">
        <v>372</v>
      </c>
      <c r="G198" s="88" t="s">
        <v>372</v>
      </c>
      <c r="H198" s="60"/>
      <c r="I198" s="61" t="s">
        <v>372</v>
      </c>
      <c r="J198" s="61"/>
      <c r="K198" s="88" t="s">
        <v>372</v>
      </c>
      <c r="L198" s="88" t="s">
        <v>372</v>
      </c>
      <c r="M198" t="s">
        <v>399</v>
      </c>
      <c r="P198" t="s">
        <v>400</v>
      </c>
      <c r="Q198">
        <v>0.05</v>
      </c>
      <c r="S198" t="s">
        <v>401</v>
      </c>
      <c r="T198">
        <v>0</v>
      </c>
      <c r="X198" t="s">
        <v>420</v>
      </c>
      <c r="Y198" t="s">
        <v>421</v>
      </c>
      <c r="AA198" s="8"/>
    </row>
    <row r="199" spans="2:27" ht="15" thickTop="1">
      <c r="B199" s="76"/>
      <c r="C199" t="s">
        <v>373</v>
      </c>
      <c r="D199" s="98">
        <f ca="1">AVERAGE(K8:K28)</f>
        <v>24.952380952380953</v>
      </c>
      <c r="E199" t="s">
        <v>392</v>
      </c>
      <c r="F199" t="s">
        <v>392</v>
      </c>
      <c r="G199">
        <f ca="1">[1]!SHAPIRO(K8:K28)</f>
        <v>0.96877238050044623</v>
      </c>
      <c r="H199" s="1" t="s">
        <v>373</v>
      </c>
      <c r="I199" s="98">
        <f ca="1">AVERAGE(K35:K55)</f>
        <v>27.857142857142858</v>
      </c>
      <c r="J199" t="s">
        <v>392</v>
      </c>
      <c r="K199" t="s">
        <v>392</v>
      </c>
      <c r="L199">
        <f ca="1">[1]!SHAPIRO(K35:K55)</f>
        <v>0.93538352615123666</v>
      </c>
      <c r="M199" s="64" t="s">
        <v>402</v>
      </c>
      <c r="N199" s="64" t="s">
        <v>385</v>
      </c>
      <c r="O199" s="64" t="s">
        <v>373</v>
      </c>
      <c r="P199" s="64" t="s">
        <v>403</v>
      </c>
      <c r="Q199" s="64" t="s">
        <v>404</v>
      </c>
      <c r="R199" s="64" t="s">
        <v>405</v>
      </c>
      <c r="S199" s="64" t="s">
        <v>406</v>
      </c>
      <c r="T199" s="64" t="s">
        <v>407</v>
      </c>
      <c r="U199" s="64" t="s">
        <v>408</v>
      </c>
      <c r="W199" t="s">
        <v>422</v>
      </c>
      <c r="X199" s="100">
        <f ca="1">MEDIAN(K8:K28)</f>
        <v>24</v>
      </c>
      <c r="Y199" s="101">
        <f ca="1">MEDIAN(K35:K55)</f>
        <v>29</v>
      </c>
      <c r="AA199" s="8"/>
    </row>
    <row r="200" spans="2:27">
      <c r="B200" s="76"/>
      <c r="C200" t="s">
        <v>374</v>
      </c>
      <c r="D200">
        <f ca="1">_xlfn.STDEV.S(K8:K28)/SQRT(COUNT(K8:K28))</f>
        <v>1.1761037176408073</v>
      </c>
      <c r="E200" t="s">
        <v>393</v>
      </c>
      <c r="F200" t="s">
        <v>393</v>
      </c>
      <c r="G200">
        <f ca="1">[1]!SWTEST(K8:K28)</f>
        <v>0.70572752142853135</v>
      </c>
      <c r="H200" s="1" t="s">
        <v>374</v>
      </c>
      <c r="I200">
        <f ca="1">_xlfn.STDEV.S(K35:K55)/SQRT(COUNT(K35:K55))</f>
        <v>1.5542349431483657</v>
      </c>
      <c r="J200" t="s">
        <v>393</v>
      </c>
      <c r="K200" t="s">
        <v>393</v>
      </c>
      <c r="L200">
        <f ca="1">[1]!SWTEST(K35:K55)</f>
        <v>0.17640787538354008</v>
      </c>
      <c r="M200" t="s">
        <v>372</v>
      </c>
      <c r="N200">
        <f ca="1">COUNT(K8:K28)</f>
        <v>21</v>
      </c>
      <c r="O200" s="98">
        <f ca="1">AVERAGE(K8:K28)</f>
        <v>24.952380952380953</v>
      </c>
      <c r="P200">
        <f ca="1">_xlfn.STDEV.S(K8:K28)</f>
        <v>5.3895843112079698</v>
      </c>
      <c r="AA200" s="8"/>
    </row>
    <row r="201" spans="2:27">
      <c r="B201" s="76"/>
      <c r="C201" t="s">
        <v>375</v>
      </c>
      <c r="D201" s="98">
        <f ca="1">MEDIAN(K8:K28)</f>
        <v>24</v>
      </c>
      <c r="E201" t="s">
        <v>394</v>
      </c>
      <c r="F201" t="s">
        <v>394</v>
      </c>
      <c r="G201">
        <v>0.05</v>
      </c>
      <c r="H201" s="1" t="s">
        <v>375</v>
      </c>
      <c r="I201" s="98">
        <f ca="1">MEDIAN(K35:K55)</f>
        <v>29</v>
      </c>
      <c r="J201" t="s">
        <v>394</v>
      </c>
      <c r="K201" t="s">
        <v>394</v>
      </c>
      <c r="L201">
        <v>0.05</v>
      </c>
      <c r="M201" t="s">
        <v>409</v>
      </c>
      <c r="N201">
        <f ca="1">COUNT(K35:K55)</f>
        <v>21</v>
      </c>
      <c r="O201" s="98">
        <f ca="1">AVERAGE(K35:K55)</f>
        <v>27.857142857142858</v>
      </c>
      <c r="P201">
        <f ca="1">_xlfn.STDEV.S(K35:K55)</f>
        <v>7.1223992747227722</v>
      </c>
      <c r="W201" t="s">
        <v>423</v>
      </c>
      <c r="X201" s="68">
        <f ca="1">SUMPRODUCT(--ISNUMBER(K8:K28),--ISNUMBER(K35:K55))</f>
        <v>21</v>
      </c>
      <c r="AA201" s="8"/>
    </row>
    <row r="202" spans="2:27">
      <c r="B202" s="76"/>
      <c r="C202" t="s">
        <v>376</v>
      </c>
      <c r="D202">
        <f ca="1">MODE(K8:K28)</f>
        <v>23</v>
      </c>
      <c r="E202" s="5" t="s">
        <v>395</v>
      </c>
      <c r="F202" s="89" t="s">
        <v>395</v>
      </c>
      <c r="G202" s="89" t="str">
        <f ca="1">IF(G200&lt;G201,"no","yes")</f>
        <v>yes</v>
      </c>
      <c r="H202" s="1" t="s">
        <v>376</v>
      </c>
      <c r="I202">
        <f ca="1">MODE(K35:K55)</f>
        <v>36</v>
      </c>
      <c r="J202" s="5" t="s">
        <v>395</v>
      </c>
      <c r="K202" s="89" t="s">
        <v>395</v>
      </c>
      <c r="L202" s="89" t="str">
        <f ca="1">IF(L200&lt;L201,"no","yes")</f>
        <v>yes</v>
      </c>
      <c r="M202" s="20" t="s">
        <v>410</v>
      </c>
      <c r="N202" s="20">
        <f ca="1">N201</f>
        <v>21</v>
      </c>
      <c r="O202" s="99">
        <f ca="1">O200-O201</f>
        <v>-2.9047619047619051</v>
      </c>
      <c r="P202" s="20">
        <f t="array" aca="1" ref="P202" ca="1">_xlfn.STDEV.S(K8:K28-K35:K55)</f>
        <v>7.8924315765470014</v>
      </c>
      <c r="Q202" s="20">
        <f ca="1">P202/SQRT(N202)</f>
        <v>1.7222697674660139</v>
      </c>
      <c r="R202" s="20">
        <f ca="1">(O200-O201-T198)/Q202</f>
        <v>-1.6865893831694549</v>
      </c>
      <c r="S202" s="20">
        <f ca="1">N202-1</f>
        <v>20</v>
      </c>
      <c r="T202" s="20">
        <f ca="1">ABS(O200-O201-T198)/P202</f>
        <v>0.36804397688966223</v>
      </c>
      <c r="U202" s="20">
        <f ca="1">SQRT(R202^2/(R202^2+S202))</f>
        <v>0.3528724376692991</v>
      </c>
      <c r="W202" t="s">
        <v>424</v>
      </c>
      <c r="X202" s="69">
        <f ca="1">SUMPRODUCT(--ISNUMBER(K8:K28),--ISNUMBER(K35:K55),--(K8:K28&lt;&gt;K35:K55))</f>
        <v>20</v>
      </c>
      <c r="AA202" s="8"/>
    </row>
    <row r="203" spans="2:27">
      <c r="B203" s="76"/>
      <c r="C203" t="s">
        <v>377</v>
      </c>
      <c r="D203">
        <f ca="1">_xlfn.STDEV.S(K8:K28)</f>
        <v>5.3895843112079698</v>
      </c>
      <c r="H203" s="1" t="s">
        <v>377</v>
      </c>
      <c r="I203">
        <f ca="1">_xlfn.STDEV.S(K35:K55)</f>
        <v>7.1223992747227722</v>
      </c>
      <c r="W203" t="s">
        <v>425</v>
      </c>
      <c r="X203" s="69">
        <f ca="1">IF(X205&lt;=X208,X205,X202*(X202+1)/2)</f>
        <v>61</v>
      </c>
      <c r="AA203" s="8"/>
    </row>
    <row r="204" spans="2:27" ht="15" thickBot="1">
      <c r="B204" s="76"/>
      <c r="C204" t="s">
        <v>378</v>
      </c>
      <c r="D204">
        <f ca="1">_xlfn.VAR.S(K8:K28)</f>
        <v>29.047619047619083</v>
      </c>
      <c r="E204" t="s">
        <v>396</v>
      </c>
      <c r="F204" t="s">
        <v>396</v>
      </c>
      <c r="H204" s="1" t="s">
        <v>378</v>
      </c>
      <c r="I204">
        <f ca="1">_xlfn.VAR.S(K35:K55)</f>
        <v>50.72857142857147</v>
      </c>
      <c r="J204" t="s">
        <v>396</v>
      </c>
      <c r="K204" t="s">
        <v>396</v>
      </c>
      <c r="M204" t="s">
        <v>411</v>
      </c>
      <c r="W204" t="s">
        <v>426</v>
      </c>
      <c r="X204" s="69">
        <f ca="1">X202*(X202+1)/2-X203</f>
        <v>149</v>
      </c>
      <c r="AA204" s="8"/>
    </row>
    <row r="205" spans="2:27" ht="15" thickTop="1">
      <c r="B205" s="76"/>
      <c r="C205" t="s">
        <v>379</v>
      </c>
      <c r="D205">
        <f ca="1">KURT(K8:K28)</f>
        <v>-0.15340375394277395</v>
      </c>
      <c r="H205" s="1" t="s">
        <v>379</v>
      </c>
      <c r="I205">
        <f ca="1">KURT(K35:K55)</f>
        <v>-1.3004840030992963</v>
      </c>
      <c r="M205" s="64" t="s">
        <v>412</v>
      </c>
      <c r="N205" s="64" t="s">
        <v>393</v>
      </c>
      <c r="O205" s="64" t="s">
        <v>413</v>
      </c>
      <c r="P205" s="64" t="s">
        <v>414</v>
      </c>
      <c r="Q205" s="64" t="s">
        <v>415</v>
      </c>
      <c r="R205" s="64" t="s">
        <v>416</v>
      </c>
      <c r="W205" t="s">
        <v>427</v>
      </c>
      <c r="X205" s="70">
        <f ca="1">[1]!SRANK(K8:K28,K35:K55)</f>
        <v>61</v>
      </c>
      <c r="AA205" s="8"/>
    </row>
    <row r="206" spans="2:27">
      <c r="B206" s="76"/>
      <c r="C206" t="s">
        <v>380</v>
      </c>
      <c r="D206">
        <f ca="1">SKEW(K8:K28)</f>
        <v>0.16025862131308019</v>
      </c>
      <c r="E206" s="20" t="s">
        <v>397</v>
      </c>
      <c r="F206" s="90" t="s">
        <v>397</v>
      </c>
      <c r="G206" s="90">
        <f ca="1">[1]!DAGOSTINO(K8:K28)</f>
        <v>0.11803531304840702</v>
      </c>
      <c r="H206" s="1" t="s">
        <v>380</v>
      </c>
      <c r="I206">
        <f ca="1">SKEW(K35:K55)</f>
        <v>-0.19916296174079159</v>
      </c>
      <c r="J206" s="20" t="s">
        <v>397</v>
      </c>
      <c r="K206" s="90" t="s">
        <v>397</v>
      </c>
      <c r="L206" s="90">
        <f ca="1">[1]!DAGOSTINO(K35:K55)</f>
        <v>4.3461601758571513</v>
      </c>
      <c r="M206" t="s">
        <v>417</v>
      </c>
      <c r="N206">
        <f ca="1">_xlfn.T.DIST.RT(ABS(R202),S202)</f>
        <v>5.3609803775170647E-2</v>
      </c>
      <c r="O206">
        <f ca="1">_xlfn.T.INV.2T(Q198*2,S202)</f>
        <v>1.7247182429207868</v>
      </c>
      <c r="R206" s="78" t="str">
        <f ca="1">IF(N206&lt;Q198,"yes","no")</f>
        <v>no</v>
      </c>
      <c r="AA206" s="8"/>
    </row>
    <row r="207" spans="2:27">
      <c r="B207" s="76"/>
      <c r="C207" t="s">
        <v>381</v>
      </c>
      <c r="D207" s="77">
        <f ca="1">D208-D209</f>
        <v>21</v>
      </c>
      <c r="E207" t="s">
        <v>393</v>
      </c>
      <c r="F207" t="s">
        <v>393</v>
      </c>
      <c r="G207">
        <f ca="1">[1]!DPTEST(K8:K28)</f>
        <v>0.94269012437915822</v>
      </c>
      <c r="H207" s="1" t="s">
        <v>381</v>
      </c>
      <c r="I207" s="77">
        <f ca="1">I208-I209</f>
        <v>22</v>
      </c>
      <c r="J207" t="s">
        <v>393</v>
      </c>
      <c r="K207" t="s">
        <v>393</v>
      </c>
      <c r="L207">
        <f ca="1">[1]!DPTEST(K35:K55)</f>
        <v>0.11382648085384162</v>
      </c>
      <c r="M207" t="s">
        <v>418</v>
      </c>
      <c r="N207">
        <f ca="1">_xlfn.T.DIST.2T(ABS(R202),S202)</f>
        <v>0.10721960755034129</v>
      </c>
      <c r="O207">
        <f ca="1">_xlfn.T.INV.2T(Q198,S202)</f>
        <v>2.0859634472658648</v>
      </c>
      <c r="P207">
        <f ca="1">(O200-O201)-Q202*O207</f>
        <v>-6.4973536860270906</v>
      </c>
      <c r="Q207">
        <f ca="1">(O200-O201)+Q202*O207</f>
        <v>0.68782987650328042</v>
      </c>
      <c r="R207" s="78" t="str">
        <f ca="1">IF(N207&lt;Q198,"yes","no")</f>
        <v>no</v>
      </c>
      <c r="X207" s="78" t="s">
        <v>428</v>
      </c>
      <c r="Y207" s="78" t="s">
        <v>429</v>
      </c>
      <c r="AA207" s="8"/>
    </row>
    <row r="208" spans="2:27">
      <c r="B208" s="76"/>
      <c r="C208" t="s">
        <v>382</v>
      </c>
      <c r="D208" s="98">
        <f ca="1">MAX(K8:K28)</f>
        <v>37</v>
      </c>
      <c r="E208" t="s">
        <v>394</v>
      </c>
      <c r="F208" t="s">
        <v>394</v>
      </c>
      <c r="G208">
        <v>0.05</v>
      </c>
      <c r="H208" s="1" t="s">
        <v>382</v>
      </c>
      <c r="I208" s="98">
        <f ca="1">MAX(K35:K55)</f>
        <v>38</v>
      </c>
      <c r="J208" t="s">
        <v>394</v>
      </c>
      <c r="K208" t="s">
        <v>394</v>
      </c>
      <c r="L208">
        <v>0.05</v>
      </c>
      <c r="M208" s="20"/>
      <c r="N208" s="20"/>
      <c r="O208" s="20"/>
      <c r="P208" s="20"/>
      <c r="Q208" s="20"/>
      <c r="R208" s="20"/>
      <c r="W208" t="s">
        <v>430</v>
      </c>
      <c r="X208" s="68">
        <f ca="1">X202*(X202+1)/4</f>
        <v>105</v>
      </c>
      <c r="AA208" s="8"/>
    </row>
    <row r="209" spans="2:27">
      <c r="B209" s="9"/>
      <c r="C209" t="s">
        <v>383</v>
      </c>
      <c r="D209" s="98">
        <f ca="1">MIN(K8:K28)</f>
        <v>16</v>
      </c>
      <c r="E209" s="5" t="s">
        <v>395</v>
      </c>
      <c r="F209" s="89" t="s">
        <v>395</v>
      </c>
      <c r="G209" s="89" t="str">
        <f ca="1">IF(G207&lt;G208,"no","yes")</f>
        <v>yes</v>
      </c>
      <c r="H209" t="s">
        <v>383</v>
      </c>
      <c r="I209" s="98">
        <f ca="1">MIN(K35:K55)</f>
        <v>16</v>
      </c>
      <c r="J209" s="5" t="s">
        <v>395</v>
      </c>
      <c r="K209" s="89" t="s">
        <v>395</v>
      </c>
      <c r="L209" s="89" t="str">
        <f ca="1">IF(L207&lt;L208,"no","yes")</f>
        <v>yes</v>
      </c>
      <c r="W209" t="s">
        <v>431</v>
      </c>
      <c r="X209" s="69">
        <f ca="1">SQRT(X208*(2*X202+1)/6-[1]!TiesCorrection(K8:K28,K35:K55,1)/48)</f>
        <v>26.765182607260499</v>
      </c>
      <c r="Y209" t="s">
        <v>432</v>
      </c>
      <c r="AA209" s="8"/>
    </row>
    <row r="210" spans="2:27">
      <c r="B210" s="9"/>
      <c r="C210" t="s">
        <v>384</v>
      </c>
      <c r="D210" s="98">
        <f ca="1">SUM(K8:K28)</f>
        <v>524</v>
      </c>
      <c r="H210" t="s">
        <v>384</v>
      </c>
      <c r="I210" s="98">
        <f ca="1">SUM(K35:K55)</f>
        <v>585</v>
      </c>
      <c r="W210" t="s">
        <v>433</v>
      </c>
      <c r="X210" s="69">
        <f ca="1">ABS(ABS(X205-X208)-1/2)/X209</f>
        <v>1.6252457768847766</v>
      </c>
      <c r="Y210" t="s">
        <v>434</v>
      </c>
      <c r="AA210" s="8"/>
    </row>
    <row r="211" spans="2:27">
      <c r="B211" s="76"/>
      <c r="C211" t="s">
        <v>385</v>
      </c>
      <c r="D211">
        <f ca="1">COUNT(K8:K28)</f>
        <v>21</v>
      </c>
      <c r="H211" s="1" t="s">
        <v>385</v>
      </c>
      <c r="I211">
        <f ca="1">COUNT(K35:K55)</f>
        <v>21</v>
      </c>
      <c r="W211" t="s">
        <v>435</v>
      </c>
      <c r="X211" s="69">
        <f ca="1">X210/SQRT(X202)</f>
        <v>0.36341600372588168</v>
      </c>
      <c r="AA211" s="8"/>
    </row>
    <row r="212" spans="2:27">
      <c r="B212" s="76"/>
      <c r="C212" t="s">
        <v>386</v>
      </c>
      <c r="D212">
        <f ca="1">GEOMEAN(K8:K28)</f>
        <v>24.384287731279695</v>
      </c>
      <c r="H212" s="1" t="s">
        <v>386</v>
      </c>
      <c r="I212">
        <f ca="1">GEOMEAN(K35:K55)</f>
        <v>26.923940834072727</v>
      </c>
      <c r="W212" t="s">
        <v>436</v>
      </c>
      <c r="X212" s="68">
        <f ca="1">1-_xlfn.NORM.S.DIST(X210,TRUE)</f>
        <v>5.2055100000045318E-2</v>
      </c>
      <c r="Y212" s="71">
        <f ca="1">2*X212</f>
        <v>0.10411020000009064</v>
      </c>
      <c r="AA212" s="8"/>
    </row>
    <row r="213" spans="2:27">
      <c r="B213" s="76"/>
      <c r="C213" t="s">
        <v>387</v>
      </c>
      <c r="D213">
        <f ca="1">HARMEAN(K8:K28)</f>
        <v>23.803230400400036</v>
      </c>
      <c r="H213" s="1" t="s">
        <v>387</v>
      </c>
      <c r="I213">
        <f ca="1">HARMEAN(K35:K55)</f>
        <v>25.945964934901301</v>
      </c>
      <c r="W213" t="s">
        <v>437</v>
      </c>
      <c r="X213" s="69">
        <f ca="1">[1]!SRDIST(X205,X202,1)</f>
        <v>5.2699089050292969E-2</v>
      </c>
      <c r="Y213" s="72">
        <f ca="1">2*X213</f>
        <v>0.10539817810058594</v>
      </c>
      <c r="AA213" s="8"/>
    </row>
    <row r="214" spans="2:27">
      <c r="B214" s="76"/>
      <c r="C214" t="s">
        <v>388</v>
      </c>
      <c r="D214">
        <f ca="1">AVEDEV(K8:K28)</f>
        <v>4.4263038548752833</v>
      </c>
      <c r="H214" s="1" t="s">
        <v>388</v>
      </c>
      <c r="I214">
        <f ca="1">AVEDEV(K35:K55)</f>
        <v>6.0544217687074831</v>
      </c>
      <c r="W214" t="s">
        <v>438</v>
      </c>
      <c r="X214" s="70" t="s">
        <v>439</v>
      </c>
      <c r="Y214" s="73" t="s">
        <v>439</v>
      </c>
      <c r="AA214" s="8"/>
    </row>
    <row r="215" spans="2:27">
      <c r="B215" s="76"/>
      <c r="C215" t="s">
        <v>389</v>
      </c>
      <c r="D215">
        <f ca="1">[1]!MAD(K8:K28)</f>
        <v>4</v>
      </c>
      <c r="H215" s="1" t="s">
        <v>389</v>
      </c>
      <c r="I215">
        <f ca="1">[1]!MAD(K35:K55)</f>
        <v>7</v>
      </c>
      <c r="AA215" s="8"/>
    </row>
    <row r="216" spans="2:27">
      <c r="B216" s="79"/>
      <c r="C216" s="5" t="s">
        <v>390</v>
      </c>
      <c r="D216" s="5">
        <f ca="1">[1]!IQR(K8:K28,FALSE)</f>
        <v>6</v>
      </c>
      <c r="E216" s="80"/>
      <c r="F216" s="80"/>
      <c r="G216" s="80"/>
      <c r="H216" s="62" t="s">
        <v>390</v>
      </c>
      <c r="I216" s="5">
        <f ca="1">[1]!IQR(K35:K55,FALSE)</f>
        <v>13</v>
      </c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4"/>
    </row>
    <row r="219" spans="2:27">
      <c r="B219" s="103" t="s">
        <v>220</v>
      </c>
      <c r="C219" s="20" t="s">
        <v>371</v>
      </c>
      <c r="D219" s="20"/>
      <c r="E219" s="20" t="s">
        <v>391</v>
      </c>
      <c r="F219" s="20" t="s">
        <v>391</v>
      </c>
      <c r="G219" s="20"/>
      <c r="H219" s="75" t="s">
        <v>371</v>
      </c>
      <c r="I219" s="20"/>
      <c r="J219" s="20" t="s">
        <v>391</v>
      </c>
      <c r="K219" s="20" t="s">
        <v>391</v>
      </c>
      <c r="L219" s="20"/>
      <c r="M219" s="20" t="s">
        <v>398</v>
      </c>
      <c r="N219" s="20"/>
      <c r="O219" s="20"/>
      <c r="P219" s="20"/>
      <c r="Q219" s="20"/>
      <c r="R219" s="20"/>
      <c r="S219" s="20"/>
      <c r="T219" s="20"/>
      <c r="U219" s="20"/>
      <c r="V219" s="20"/>
      <c r="W219" s="20" t="s">
        <v>419</v>
      </c>
      <c r="X219" s="20"/>
      <c r="Y219" s="20"/>
      <c r="Z219" s="20"/>
      <c r="AA219" s="13"/>
    </row>
    <row r="220" spans="2:27">
      <c r="B220" s="76"/>
      <c r="H220" s="1"/>
      <c r="AA220" s="8"/>
    </row>
    <row r="221" spans="2:27" ht="15" thickBot="1">
      <c r="B221" s="76"/>
      <c r="C221" s="61"/>
      <c r="D221" s="61" t="s">
        <v>372</v>
      </c>
      <c r="E221" s="61"/>
      <c r="F221" s="88" t="s">
        <v>372</v>
      </c>
      <c r="G221" s="88" t="s">
        <v>372</v>
      </c>
      <c r="H221" s="60"/>
      <c r="I221" s="61" t="s">
        <v>372</v>
      </c>
      <c r="J221" s="61"/>
      <c r="K221" s="88" t="s">
        <v>372</v>
      </c>
      <c r="L221" s="88" t="s">
        <v>372</v>
      </c>
      <c r="M221" t="s">
        <v>399</v>
      </c>
      <c r="P221" t="s">
        <v>400</v>
      </c>
      <c r="Q221">
        <v>0.05</v>
      </c>
      <c r="S221" t="s">
        <v>401</v>
      </c>
      <c r="T221">
        <v>0</v>
      </c>
      <c r="X221" t="s">
        <v>420</v>
      </c>
      <c r="Y221" t="s">
        <v>421</v>
      </c>
      <c r="AA221" s="8"/>
    </row>
    <row r="222" spans="2:27" ht="15" thickTop="1">
      <c r="B222" s="76"/>
      <c r="C222" t="s">
        <v>373</v>
      </c>
      <c r="D222" s="77">
        <f ca="1">AVERAGE(L8:L28)</f>
        <v>0.53178714285714279</v>
      </c>
      <c r="E222" t="s">
        <v>392</v>
      </c>
      <c r="F222" t="s">
        <v>392</v>
      </c>
      <c r="G222">
        <f ca="1">[1]!SHAPIRO(L8:L28)</f>
        <v>0.98255897554833682</v>
      </c>
      <c r="H222" s="1" t="s">
        <v>373</v>
      </c>
      <c r="I222" s="77">
        <f ca="1">AVERAGE(L35:L55)</f>
        <v>0.57767952380952392</v>
      </c>
      <c r="J222" t="s">
        <v>392</v>
      </c>
      <c r="K222" t="s">
        <v>392</v>
      </c>
      <c r="L222">
        <f ca="1">[1]!SHAPIRO(L35:L55)</f>
        <v>0.89031676874337451</v>
      </c>
      <c r="M222" s="64" t="s">
        <v>402</v>
      </c>
      <c r="N222" s="64" t="s">
        <v>385</v>
      </c>
      <c r="O222" s="64" t="s">
        <v>373</v>
      </c>
      <c r="P222" s="64" t="s">
        <v>403</v>
      </c>
      <c r="Q222" s="64" t="s">
        <v>404</v>
      </c>
      <c r="R222" s="64" t="s">
        <v>405</v>
      </c>
      <c r="S222" s="64" t="s">
        <v>406</v>
      </c>
      <c r="T222" s="64" t="s">
        <v>407</v>
      </c>
      <c r="U222" s="64" t="s">
        <v>408</v>
      </c>
      <c r="W222" t="s">
        <v>422</v>
      </c>
      <c r="X222" s="66">
        <f ca="1">MEDIAN(L8:L28)</f>
        <v>0.52173999999999998</v>
      </c>
      <c r="Y222" s="67">
        <f ca="1">MEDIAN(L35:L55)</f>
        <v>0.55556000000000005</v>
      </c>
      <c r="AA222" s="8"/>
    </row>
    <row r="223" spans="2:27">
      <c r="B223" s="76"/>
      <c r="C223" t="s">
        <v>374</v>
      </c>
      <c r="D223">
        <f ca="1">_xlfn.STDEV.S(L8:L28)/SQRT(COUNT(L8:L28))</f>
        <v>2.769379498270725E-2</v>
      </c>
      <c r="E223" t="s">
        <v>393</v>
      </c>
      <c r="F223" t="s">
        <v>393</v>
      </c>
      <c r="G223">
        <f ca="1">[1]!SWTEST(L8:L28)</f>
        <v>0.95714918625366685</v>
      </c>
      <c r="H223" s="1" t="s">
        <v>374</v>
      </c>
      <c r="I223">
        <f ca="1">_xlfn.STDEV.S(L35:L55)/SQRT(COUNT(L35:L55))</f>
        <v>2.9999110355667501E-2</v>
      </c>
      <c r="J223" t="s">
        <v>393</v>
      </c>
      <c r="K223" t="s">
        <v>393</v>
      </c>
      <c r="L223">
        <f ca="1">[1]!SWTEST(L35:L55)</f>
        <v>2.2811778354493106E-2</v>
      </c>
      <c r="M223" t="s">
        <v>372</v>
      </c>
      <c r="N223">
        <f ca="1">COUNT(L8:L28)</f>
        <v>21</v>
      </c>
      <c r="O223" s="77">
        <f ca="1">AVERAGE(L8:L28)</f>
        <v>0.53178714285714279</v>
      </c>
      <c r="P223">
        <f ca="1">_xlfn.STDEV.S(L8:L28)</f>
        <v>0.12690891178884423</v>
      </c>
      <c r="AA223" s="8"/>
    </row>
    <row r="224" spans="2:27">
      <c r="B224" s="76"/>
      <c r="C224" t="s">
        <v>375</v>
      </c>
      <c r="D224" s="77">
        <f ca="1">MEDIAN(L8:L28)</f>
        <v>0.52173999999999998</v>
      </c>
      <c r="E224" t="s">
        <v>394</v>
      </c>
      <c r="F224" t="s">
        <v>394</v>
      </c>
      <c r="G224">
        <v>0.05</v>
      </c>
      <c r="H224" s="1" t="s">
        <v>375</v>
      </c>
      <c r="I224" s="77">
        <f ca="1">MEDIAN(L35:L55)</f>
        <v>0.55556000000000005</v>
      </c>
      <c r="J224" t="s">
        <v>394</v>
      </c>
      <c r="K224" t="s">
        <v>394</v>
      </c>
      <c r="L224">
        <v>0.05</v>
      </c>
      <c r="M224" t="s">
        <v>409</v>
      </c>
      <c r="N224">
        <f ca="1">COUNT(L35:L55)</f>
        <v>21</v>
      </c>
      <c r="O224" s="77">
        <f ca="1">AVERAGE(L35:L55)</f>
        <v>0.57767952380952392</v>
      </c>
      <c r="P224">
        <f ca="1">_xlfn.STDEV.S(L35:L55)</f>
        <v>0.13747319398617994</v>
      </c>
      <c r="W224" t="s">
        <v>423</v>
      </c>
      <c r="X224" s="68">
        <f ca="1">SUMPRODUCT(--ISNUMBER(L8:L28),--ISNUMBER(L35:L55))</f>
        <v>21</v>
      </c>
      <c r="AA224" s="8"/>
    </row>
    <row r="225" spans="2:27">
      <c r="B225" s="76"/>
      <c r="C225" t="s">
        <v>376</v>
      </c>
      <c r="D225">
        <f ca="1">MODE(L8:L28)</f>
        <v>0.5</v>
      </c>
      <c r="E225" s="5" t="s">
        <v>395</v>
      </c>
      <c r="F225" s="89" t="s">
        <v>395</v>
      </c>
      <c r="G225" s="89" t="str">
        <f ca="1">IF(G223&lt;G224,"no","yes")</f>
        <v>yes</v>
      </c>
      <c r="H225" s="1" t="s">
        <v>376</v>
      </c>
      <c r="I225">
        <f ca="1">MODE(L35:L55)</f>
        <v>0.5</v>
      </c>
      <c r="J225" s="5" t="s">
        <v>395</v>
      </c>
      <c r="K225" s="89" t="s">
        <v>395</v>
      </c>
      <c r="L225" s="89" t="str">
        <f ca="1">IF(L223&lt;L224,"no","yes")</f>
        <v>no</v>
      </c>
      <c r="M225" s="20" t="s">
        <v>410</v>
      </c>
      <c r="N225" s="20">
        <f ca="1">N224</f>
        <v>21</v>
      </c>
      <c r="O225" s="65">
        <f ca="1">O223-O224</f>
        <v>-4.5892380952381129E-2</v>
      </c>
      <c r="P225" s="20">
        <f t="array" aca="1" ref="P225" ca="1">_xlfn.STDEV.S(L8:L28-L35:L55)</f>
        <v>0.18112761423661389</v>
      </c>
      <c r="Q225" s="20">
        <f ca="1">P225/SQRT(N225)</f>
        <v>3.952528584219258E-2</v>
      </c>
      <c r="R225" s="20">
        <f ca="1">(O223-O224-T221)/Q225</f>
        <v>-1.1610891603822833</v>
      </c>
      <c r="S225" s="20">
        <f ca="1">N225-1</f>
        <v>20</v>
      </c>
      <c r="T225" s="20">
        <f ca="1">ABS(O223-O224-T221)/P225</f>
        <v>0.25337042695450163</v>
      </c>
      <c r="U225" s="20">
        <f ca="1">SQRT(R225^2/(R225^2+S225))</f>
        <v>0.25129605520659631</v>
      </c>
      <c r="W225" t="s">
        <v>424</v>
      </c>
      <c r="X225" s="69">
        <f ca="1">SUMPRODUCT(--ISNUMBER(L8:L28),--ISNUMBER(L35:L55),--(L8:L28&lt;&gt;L35:L55))</f>
        <v>21</v>
      </c>
      <c r="AA225" s="8"/>
    </row>
    <row r="226" spans="2:27">
      <c r="B226" s="76"/>
      <c r="C226" t="s">
        <v>377</v>
      </c>
      <c r="D226">
        <f ca="1">_xlfn.STDEV.S(L8:L28)</f>
        <v>0.12690891178884423</v>
      </c>
      <c r="H226" s="1" t="s">
        <v>377</v>
      </c>
      <c r="I226">
        <f ca="1">_xlfn.STDEV.S(L35:L55)</f>
        <v>0.13747319398617994</v>
      </c>
      <c r="W226" t="s">
        <v>425</v>
      </c>
      <c r="X226" s="69">
        <f ca="1">IF(X228&lt;=X231,X228,X225*(X225+1)/2)</f>
        <v>78</v>
      </c>
      <c r="AA226" s="8"/>
    </row>
    <row r="227" spans="2:27" ht="15" thickBot="1">
      <c r="B227" s="76"/>
      <c r="C227" t="s">
        <v>378</v>
      </c>
      <c r="D227">
        <f ca="1">_xlfn.VAR.S(L8:L28)</f>
        <v>1.6105871891428647E-2</v>
      </c>
      <c r="E227" t="s">
        <v>396</v>
      </c>
      <c r="F227" t="s">
        <v>396</v>
      </c>
      <c r="H227" s="1" t="s">
        <v>378</v>
      </c>
      <c r="I227">
        <f ca="1">_xlfn.VAR.S(L35:L55)</f>
        <v>1.8898879064761863E-2</v>
      </c>
      <c r="J227" t="s">
        <v>396</v>
      </c>
      <c r="K227" t="s">
        <v>396</v>
      </c>
      <c r="M227" t="s">
        <v>411</v>
      </c>
      <c r="W227" t="s">
        <v>426</v>
      </c>
      <c r="X227" s="69">
        <f ca="1">X225*(X225+1)/2-X226</f>
        <v>153</v>
      </c>
      <c r="AA227" s="8"/>
    </row>
    <row r="228" spans="2:27" ht="15" thickTop="1">
      <c r="B228" s="76"/>
      <c r="C228" t="s">
        <v>379</v>
      </c>
      <c r="D228">
        <f ca="1">KURT(L8:L28)</f>
        <v>-0.61904996153993697</v>
      </c>
      <c r="H228" s="1" t="s">
        <v>379</v>
      </c>
      <c r="I228">
        <f ca="1">KURT(L35:L55)</f>
        <v>2.2390837438757356</v>
      </c>
      <c r="M228" s="64" t="s">
        <v>412</v>
      </c>
      <c r="N228" s="64" t="s">
        <v>393</v>
      </c>
      <c r="O228" s="64" t="s">
        <v>413</v>
      </c>
      <c r="P228" s="64" t="s">
        <v>414</v>
      </c>
      <c r="Q228" s="64" t="s">
        <v>415</v>
      </c>
      <c r="R228" s="64" t="s">
        <v>416</v>
      </c>
      <c r="W228" t="s">
        <v>427</v>
      </c>
      <c r="X228" s="70">
        <f ca="1">[1]!SRANK(L8:L28,L35:L55)</f>
        <v>78</v>
      </c>
      <c r="AA228" s="8"/>
    </row>
    <row r="229" spans="2:27">
      <c r="B229" s="76"/>
      <c r="C229" t="s">
        <v>380</v>
      </c>
      <c r="D229">
        <f ca="1">SKEW(L8:L28)</f>
        <v>-0.14950404186118638</v>
      </c>
      <c r="E229" s="20" t="s">
        <v>397</v>
      </c>
      <c r="F229" s="90" t="s">
        <v>397</v>
      </c>
      <c r="G229" s="90">
        <f ca="1">[1]!DAGOSTINO(L8:L28)</f>
        <v>0.45513099698507575</v>
      </c>
      <c r="H229" s="1" t="s">
        <v>380</v>
      </c>
      <c r="I229">
        <f ca="1">SKEW(L35:L55)</f>
        <v>-1.2235313465670905</v>
      </c>
      <c r="J229" s="20" t="s">
        <v>397</v>
      </c>
      <c r="K229" s="90" t="s">
        <v>397</v>
      </c>
      <c r="L229" s="90">
        <f ca="1">[1]!DAGOSTINO(L35:L55)</f>
        <v>8.9261446744939974</v>
      </c>
      <c r="M229" t="s">
        <v>417</v>
      </c>
      <c r="N229">
        <f ca="1">_xlfn.T.DIST.RT(ABS(R225),S225)</f>
        <v>0.12963840066880622</v>
      </c>
      <c r="O229">
        <f ca="1">_xlfn.T.INV.2T(Q221*2,S225)</f>
        <v>1.7247182429207868</v>
      </c>
      <c r="R229" s="78" t="str">
        <f ca="1">IF(N229&lt;Q221,"yes","no")</f>
        <v>no</v>
      </c>
      <c r="AA229" s="8"/>
    </row>
    <row r="230" spans="2:27">
      <c r="B230" s="76"/>
      <c r="C230" t="s">
        <v>381</v>
      </c>
      <c r="D230" s="77">
        <f ca="1">D231-D232</f>
        <v>0.47221999999999997</v>
      </c>
      <c r="E230" t="s">
        <v>393</v>
      </c>
      <c r="F230" t="s">
        <v>393</v>
      </c>
      <c r="G230">
        <f ca="1">[1]!DPTEST(L8:L28)</f>
        <v>0.7964702521881355</v>
      </c>
      <c r="H230" s="1" t="s">
        <v>381</v>
      </c>
      <c r="I230" s="77">
        <f ca="1">I231-I232</f>
        <v>0.56638999999999995</v>
      </c>
      <c r="J230" t="s">
        <v>393</v>
      </c>
      <c r="K230" t="s">
        <v>393</v>
      </c>
      <c r="L230">
        <f ca="1">[1]!DPTEST(L35:L55)</f>
        <v>1.1526894322288594E-2</v>
      </c>
      <c r="M230" t="s">
        <v>418</v>
      </c>
      <c r="N230">
        <f ca="1">_xlfn.T.DIST.2T(ABS(R225),S225)</f>
        <v>0.25927680133761244</v>
      </c>
      <c r="O230">
        <f ca="1">_xlfn.T.INV.2T(Q221,S225)</f>
        <v>2.0859634472658648</v>
      </c>
      <c r="P230">
        <f ca="1">(O223-O224)-Q225*O230</f>
        <v>-0.12834068246192984</v>
      </c>
      <c r="Q230">
        <f ca="1">(O223-O224)+Q225*O230</f>
        <v>3.6555920557167582E-2</v>
      </c>
      <c r="R230" s="78" t="str">
        <f ca="1">IF(N230&lt;Q221,"yes","no")</f>
        <v>no</v>
      </c>
      <c r="X230" s="78" t="s">
        <v>428</v>
      </c>
      <c r="Y230" s="78" t="s">
        <v>429</v>
      </c>
      <c r="AA230" s="8"/>
    </row>
    <row r="231" spans="2:27">
      <c r="B231" s="76"/>
      <c r="C231" t="s">
        <v>382</v>
      </c>
      <c r="D231" s="77">
        <f ca="1">MAX(L8:L28)</f>
        <v>0.75</v>
      </c>
      <c r="E231" t="s">
        <v>394</v>
      </c>
      <c r="F231" t="s">
        <v>394</v>
      </c>
      <c r="G231">
        <v>0.05</v>
      </c>
      <c r="H231" s="1" t="s">
        <v>382</v>
      </c>
      <c r="I231" s="77">
        <f ca="1">MAX(L35:L55)</f>
        <v>0.74285999999999996</v>
      </c>
      <c r="J231" t="s">
        <v>394</v>
      </c>
      <c r="K231" t="s">
        <v>394</v>
      </c>
      <c r="L231">
        <v>0.05</v>
      </c>
      <c r="M231" s="20"/>
      <c r="N231" s="20"/>
      <c r="O231" s="20"/>
      <c r="P231" s="20"/>
      <c r="Q231" s="20"/>
      <c r="R231" s="20"/>
      <c r="W231" t="s">
        <v>430</v>
      </c>
      <c r="X231" s="68">
        <f ca="1">X225*(X225+1)/4</f>
        <v>115.5</v>
      </c>
      <c r="AA231" s="8"/>
    </row>
    <row r="232" spans="2:27">
      <c r="B232" s="9"/>
      <c r="C232" t="s">
        <v>383</v>
      </c>
      <c r="D232" s="77">
        <f ca="1">MIN(L8:L28)</f>
        <v>0.27778000000000003</v>
      </c>
      <c r="E232" s="5" t="s">
        <v>395</v>
      </c>
      <c r="F232" s="89" t="s">
        <v>395</v>
      </c>
      <c r="G232" s="89" t="str">
        <f ca="1">IF(G230&lt;G231,"no","yes")</f>
        <v>yes</v>
      </c>
      <c r="H232" t="s">
        <v>383</v>
      </c>
      <c r="I232" s="77">
        <f ca="1">MIN(L35:L55)</f>
        <v>0.17646999999999999</v>
      </c>
      <c r="J232" s="5" t="s">
        <v>395</v>
      </c>
      <c r="K232" s="89" t="s">
        <v>395</v>
      </c>
      <c r="L232" s="89" t="str">
        <f ca="1">IF(L230&lt;L231,"no","yes")</f>
        <v>no</v>
      </c>
      <c r="W232" t="s">
        <v>431</v>
      </c>
      <c r="X232" s="69">
        <f ca="1">SQRT(X231*(2*X225+1)/6-[1]!TiesCorrection(L8:L28,L35:L55,1)/48)</f>
        <v>28.770644761631605</v>
      </c>
      <c r="Y232" t="s">
        <v>432</v>
      </c>
      <c r="AA232" s="8"/>
    </row>
    <row r="233" spans="2:27">
      <c r="B233" s="9"/>
      <c r="C233" t="s">
        <v>384</v>
      </c>
      <c r="D233" s="77">
        <f ca="1">SUM(L8:L28)</f>
        <v>11.167529999999999</v>
      </c>
      <c r="H233" t="s">
        <v>384</v>
      </c>
      <c r="I233" s="77">
        <f ca="1">SUM(L35:L55)</f>
        <v>12.131270000000002</v>
      </c>
      <c r="W233" t="s">
        <v>433</v>
      </c>
      <c r="X233" s="69">
        <f ca="1">ABS(ABS(X228-X231)-1/2)/X232</f>
        <v>1.286033048843696</v>
      </c>
      <c r="Y233" t="s">
        <v>434</v>
      </c>
      <c r="AA233" s="8"/>
    </row>
    <row r="234" spans="2:27">
      <c r="B234" s="76"/>
      <c r="C234" t="s">
        <v>385</v>
      </c>
      <c r="D234">
        <f ca="1">COUNT(L8:L28)</f>
        <v>21</v>
      </c>
      <c r="H234" s="1" t="s">
        <v>385</v>
      </c>
      <c r="I234">
        <f ca="1">COUNT(L35:L55)</f>
        <v>21</v>
      </c>
      <c r="W234" t="s">
        <v>435</v>
      </c>
      <c r="X234" s="69">
        <f ca="1">X233/SQRT(X225)</f>
        <v>0.2806354186924323</v>
      </c>
      <c r="AA234" s="8"/>
    </row>
    <row r="235" spans="2:27">
      <c r="B235" s="76"/>
      <c r="C235" t="s">
        <v>386</v>
      </c>
      <c r="D235">
        <f ca="1">GEOMEAN(L8:L28)</f>
        <v>0.51621264893879359</v>
      </c>
      <c r="H235" s="1" t="s">
        <v>386</v>
      </c>
      <c r="I235">
        <f ca="1">GEOMEAN(L35:L55)</f>
        <v>0.55568897455146338</v>
      </c>
      <c r="W235" t="s">
        <v>436</v>
      </c>
      <c r="X235" s="68">
        <f ca="1">1-_xlfn.NORM.S.DIST(X233,TRUE)</f>
        <v>9.9215763973455218E-2</v>
      </c>
      <c r="Y235" s="71">
        <f ca="1">2*X235</f>
        <v>0.19843152794691044</v>
      </c>
      <c r="AA235" s="8"/>
    </row>
    <row r="236" spans="2:27">
      <c r="B236" s="76"/>
      <c r="C236" t="s">
        <v>387</v>
      </c>
      <c r="D236">
        <f ca="1">HARMEAN(L8:L28)</f>
        <v>0.49942506510015555</v>
      </c>
      <c r="H236" s="1" t="s">
        <v>387</v>
      </c>
      <c r="I236">
        <f ca="1">HARMEAN(L35:L55)</f>
        <v>0.52206451691347311</v>
      </c>
      <c r="W236" t="s">
        <v>437</v>
      </c>
      <c r="X236" s="69">
        <f ca="1">[1]!SRDIST(X228,X225,1)</f>
        <v>0.10145854949951172</v>
      </c>
      <c r="Y236" s="72">
        <f ca="1">2*X236</f>
        <v>0.20291709899902344</v>
      </c>
      <c r="AA236" s="8"/>
    </row>
    <row r="237" spans="2:27">
      <c r="B237" s="76"/>
      <c r="C237" t="s">
        <v>388</v>
      </c>
      <c r="D237">
        <f ca="1">AVEDEV(L8:L28)</f>
        <v>0.102321768707483</v>
      </c>
      <c r="H237" s="1" t="s">
        <v>388</v>
      </c>
      <c r="I237">
        <f ca="1">AVEDEV(L35:L55)</f>
        <v>0.10671854875283444</v>
      </c>
      <c r="W237" t="s">
        <v>438</v>
      </c>
      <c r="X237" s="70" t="s">
        <v>439</v>
      </c>
      <c r="Y237" s="73" t="s">
        <v>439</v>
      </c>
      <c r="AA237" s="8"/>
    </row>
    <row r="238" spans="2:27">
      <c r="B238" s="76"/>
      <c r="C238" t="s">
        <v>389</v>
      </c>
      <c r="D238">
        <f ca="1">[1]!MAD(L8:L28)</f>
        <v>8.6959999999999982E-2</v>
      </c>
      <c r="H238" s="1" t="s">
        <v>389</v>
      </c>
      <c r="I238">
        <f ca="1">[1]!MAD(L35:L55)</f>
        <v>8.6810000000000054E-2</v>
      </c>
      <c r="AA238" s="8"/>
    </row>
    <row r="239" spans="2:27">
      <c r="B239" s="79"/>
      <c r="C239" s="5" t="s">
        <v>390</v>
      </c>
      <c r="D239" s="5">
        <f ca="1">[1]!IQR(L8:L28,FALSE)</f>
        <v>0.17068999999999995</v>
      </c>
      <c r="E239" s="80"/>
      <c r="F239" s="80"/>
      <c r="G239" s="80"/>
      <c r="H239" s="62" t="s">
        <v>390</v>
      </c>
      <c r="I239" s="5">
        <f ca="1">[1]!IQR(L35:L55,FALSE)</f>
        <v>0.18571000000000004</v>
      </c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4"/>
    </row>
  </sheetData>
  <mergeCells count="11">
    <mergeCell ref="K33:M33"/>
    <mergeCell ref="B2:C2"/>
    <mergeCell ref="E6:F6"/>
    <mergeCell ref="K6:M6"/>
    <mergeCell ref="C6:C7"/>
    <mergeCell ref="D6:D7"/>
    <mergeCell ref="G6:J6"/>
    <mergeCell ref="C33:C34"/>
    <mergeCell ref="D33:D34"/>
    <mergeCell ref="E33:F33"/>
    <mergeCell ref="G33:J33"/>
  </mergeCells>
  <pageMargins left="0.7" right="0.7" top="0.75" bottom="0.75" header="0.3" footer="0.3"/>
  <ignoredErrors>
    <ignoredError sqref="E11 F26:G26 E42 E51 I49:I51 I38 I42 L42:L49 L17:L22 L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A3C5-BF84-48F1-9074-07896BF17EBA}">
  <dimension ref="B3:E54"/>
  <sheetViews>
    <sheetView topLeftCell="A8" workbookViewId="0">
      <selection activeCell="B54" sqref="B38:B54"/>
    </sheetView>
  </sheetViews>
  <sheetFormatPr defaultRowHeight="14.4"/>
  <cols>
    <col min="1" max="1" width="8.88671875" style="14"/>
    <col min="2" max="2" width="27.21875" style="14" customWidth="1"/>
    <col min="3" max="3" width="25" style="14" customWidth="1"/>
    <col min="4" max="4" width="9.77734375" style="14" bestFit="1" customWidth="1"/>
    <col min="5" max="5" width="44" style="14" bestFit="1" customWidth="1"/>
    <col min="6" max="16384" width="8.88671875" style="14"/>
  </cols>
  <sheetData>
    <row r="3" spans="2:5" ht="46.8">
      <c r="B3" s="34" t="s">
        <v>221</v>
      </c>
      <c r="C3" s="32"/>
      <c r="D3" s="32"/>
      <c r="E3" s="32"/>
    </row>
    <row r="4" spans="2:5">
      <c r="B4" s="32"/>
      <c r="C4" s="32"/>
      <c r="D4" s="32"/>
      <c r="E4" s="32"/>
    </row>
    <row r="5" spans="2:5" ht="36">
      <c r="B5" s="35" t="s">
        <v>274</v>
      </c>
      <c r="C5" s="32"/>
      <c r="D5" s="32"/>
      <c r="E5" s="32"/>
    </row>
    <row r="6" spans="2:5">
      <c r="B6" s="32"/>
      <c r="C6" s="32"/>
      <c r="D6" s="32"/>
      <c r="E6" s="32"/>
    </row>
    <row r="7" spans="2:5">
      <c r="B7" s="36" t="s">
        <v>222</v>
      </c>
      <c r="C7" s="36" t="s">
        <v>223</v>
      </c>
      <c r="D7" s="36" t="s">
        <v>224</v>
      </c>
      <c r="E7" s="36" t="s">
        <v>225</v>
      </c>
    </row>
    <row r="8" spans="2:5" ht="43.2">
      <c r="B8" s="36" t="s">
        <v>34</v>
      </c>
      <c r="C8" s="32" t="s">
        <v>226</v>
      </c>
      <c r="D8" s="32" t="s">
        <v>227</v>
      </c>
      <c r="E8" s="32" t="s">
        <v>228</v>
      </c>
    </row>
    <row r="9" spans="2:5" ht="28.8">
      <c r="B9" s="36" t="s">
        <v>35</v>
      </c>
      <c r="C9" s="32" t="s">
        <v>229</v>
      </c>
      <c r="D9" s="32" t="s">
        <v>230</v>
      </c>
      <c r="E9" s="32" t="s">
        <v>231</v>
      </c>
    </row>
    <row r="10" spans="2:5" ht="28.8">
      <c r="B10" s="36" t="s">
        <v>36</v>
      </c>
      <c r="C10" s="32" t="s">
        <v>232</v>
      </c>
      <c r="D10" s="32" t="s">
        <v>233</v>
      </c>
      <c r="E10" s="32" t="s">
        <v>234</v>
      </c>
    </row>
    <row r="11" spans="2:5" ht="72">
      <c r="B11" s="36" t="s">
        <v>235</v>
      </c>
      <c r="C11" s="32" t="s">
        <v>236</v>
      </c>
      <c r="D11" s="32" t="s">
        <v>230</v>
      </c>
      <c r="E11" s="32" t="s">
        <v>237</v>
      </c>
    </row>
    <row r="12" spans="2:5" ht="43.2">
      <c r="B12" s="36" t="s">
        <v>238</v>
      </c>
      <c r="C12" s="32" t="s">
        <v>239</v>
      </c>
      <c r="D12" s="32" t="s">
        <v>230</v>
      </c>
      <c r="E12" s="32" t="s">
        <v>240</v>
      </c>
    </row>
    <row r="13" spans="2:5" ht="43.2">
      <c r="B13" s="36" t="s">
        <v>44</v>
      </c>
      <c r="C13" s="32" t="s">
        <v>241</v>
      </c>
      <c r="D13" s="32" t="s">
        <v>242</v>
      </c>
      <c r="E13" s="32" t="s">
        <v>243</v>
      </c>
    </row>
    <row r="14" spans="2:5">
      <c r="B14" s="32"/>
      <c r="C14" s="32"/>
      <c r="D14" s="32"/>
      <c r="E14" s="32"/>
    </row>
    <row r="15" spans="2:5">
      <c r="B15" s="32"/>
      <c r="C15" s="32"/>
      <c r="D15" s="32"/>
      <c r="E15" s="32"/>
    </row>
    <row r="16" spans="2:5" ht="54">
      <c r="B16" s="35" t="s">
        <v>276</v>
      </c>
      <c r="C16" s="32"/>
      <c r="D16" s="32"/>
      <c r="E16" s="32"/>
    </row>
    <row r="17" spans="2:5">
      <c r="B17" s="32"/>
      <c r="C17" s="32"/>
      <c r="D17" s="32"/>
      <c r="E17" s="32"/>
    </row>
    <row r="18" spans="2:5">
      <c r="B18" s="36" t="s">
        <v>222</v>
      </c>
      <c r="C18" s="36" t="s">
        <v>223</v>
      </c>
      <c r="D18" s="36" t="s">
        <v>224</v>
      </c>
      <c r="E18" s="36" t="s">
        <v>225</v>
      </c>
    </row>
    <row r="19" spans="2:5" ht="28.8">
      <c r="B19" s="36" t="s">
        <v>47</v>
      </c>
      <c r="C19" s="32" t="s">
        <v>244</v>
      </c>
      <c r="D19" s="32" t="s">
        <v>245</v>
      </c>
      <c r="E19" s="32" t="s">
        <v>246</v>
      </c>
    </row>
    <row r="20" spans="2:5" ht="28.8">
      <c r="B20" s="36" t="s">
        <v>48</v>
      </c>
      <c r="C20" s="32" t="s">
        <v>247</v>
      </c>
      <c r="D20" s="32" t="s">
        <v>245</v>
      </c>
      <c r="E20" s="32" t="s">
        <v>248</v>
      </c>
    </row>
    <row r="21" spans="2:5" ht="28.8">
      <c r="B21" s="36" t="s">
        <v>49</v>
      </c>
      <c r="C21" s="32" t="s">
        <v>249</v>
      </c>
      <c r="D21" s="32" t="s">
        <v>233</v>
      </c>
      <c r="E21" s="32" t="s">
        <v>250</v>
      </c>
    </row>
    <row r="22" spans="2:5">
      <c r="B22" s="36" t="s">
        <v>50</v>
      </c>
      <c r="C22" s="32" t="s">
        <v>251</v>
      </c>
      <c r="D22" s="32" t="s">
        <v>230</v>
      </c>
      <c r="E22" s="32" t="s">
        <v>252</v>
      </c>
    </row>
    <row r="23" spans="2:5" ht="43.2">
      <c r="B23" s="36" t="s">
        <v>51</v>
      </c>
      <c r="C23" s="32" t="s">
        <v>253</v>
      </c>
      <c r="D23" s="32" t="s">
        <v>254</v>
      </c>
      <c r="E23" s="32" t="s">
        <v>255</v>
      </c>
    </row>
    <row r="24" spans="2:5" ht="28.8">
      <c r="B24" s="36" t="s">
        <v>52</v>
      </c>
      <c r="C24" s="32" t="s">
        <v>256</v>
      </c>
      <c r="D24" s="32" t="s">
        <v>254</v>
      </c>
      <c r="E24" s="32" t="s">
        <v>257</v>
      </c>
    </row>
    <row r="25" spans="2:5" ht="28.8">
      <c r="B25" s="36" t="s">
        <v>53</v>
      </c>
      <c r="C25" s="32" t="s">
        <v>258</v>
      </c>
      <c r="D25" s="32" t="s">
        <v>233</v>
      </c>
      <c r="E25" s="32" t="s">
        <v>259</v>
      </c>
    </row>
    <row r="26" spans="2:5">
      <c r="B26" s="32"/>
      <c r="C26" s="32"/>
      <c r="D26" s="32"/>
      <c r="E26" s="32"/>
    </row>
    <row r="27" spans="2:5">
      <c r="B27" s="32"/>
      <c r="C27" s="32"/>
      <c r="D27" s="32"/>
      <c r="E27" s="32"/>
    </row>
    <row r="28" spans="2:5" ht="54">
      <c r="B28" s="35" t="s">
        <v>275</v>
      </c>
      <c r="C28" s="32"/>
      <c r="D28" s="32"/>
      <c r="E28" s="32"/>
    </row>
    <row r="29" spans="2:5">
      <c r="B29" s="32"/>
      <c r="C29" s="32"/>
      <c r="D29" s="32"/>
      <c r="E29" s="32"/>
    </row>
    <row r="30" spans="2:5">
      <c r="B30" s="36" t="s">
        <v>222</v>
      </c>
      <c r="C30" s="36" t="s">
        <v>223</v>
      </c>
      <c r="D30" s="36" t="s">
        <v>224</v>
      </c>
      <c r="E30" s="36" t="s">
        <v>225</v>
      </c>
    </row>
    <row r="31" spans="2:5" ht="28.8">
      <c r="B31" s="36" t="s">
        <v>45</v>
      </c>
      <c r="C31" s="32" t="s">
        <v>260</v>
      </c>
      <c r="D31" s="32" t="s">
        <v>233</v>
      </c>
      <c r="E31" s="32" t="s">
        <v>261</v>
      </c>
    </row>
    <row r="32" spans="2:5" ht="57.6">
      <c r="B32" s="36" t="s">
        <v>46</v>
      </c>
      <c r="C32" s="32" t="s">
        <v>262</v>
      </c>
      <c r="D32" s="32" t="s">
        <v>263</v>
      </c>
      <c r="E32" s="32" t="s">
        <v>264</v>
      </c>
    </row>
    <row r="33" spans="2:5" ht="43.2">
      <c r="B33" s="36" t="s">
        <v>265</v>
      </c>
      <c r="C33" s="32" t="s">
        <v>266</v>
      </c>
      <c r="D33" s="32" t="s">
        <v>267</v>
      </c>
      <c r="E33" s="32" t="s">
        <v>268</v>
      </c>
    </row>
    <row r="34" spans="2:5" ht="43.2">
      <c r="B34" s="36" t="s">
        <v>269</v>
      </c>
      <c r="C34" s="32" t="s">
        <v>270</v>
      </c>
      <c r="D34" s="32" t="s">
        <v>230</v>
      </c>
      <c r="E34" s="32" t="s">
        <v>271</v>
      </c>
    </row>
    <row r="35" spans="2:5" ht="28.8">
      <c r="B35" s="36" t="s">
        <v>62</v>
      </c>
      <c r="C35" s="32" t="s">
        <v>272</v>
      </c>
      <c r="D35" s="32" t="s">
        <v>233</v>
      </c>
      <c r="E35" s="32" t="s">
        <v>273</v>
      </c>
    </row>
    <row r="36" spans="2:5">
      <c r="B36" s="32"/>
      <c r="C36" s="32"/>
      <c r="D36" s="32"/>
      <c r="E36" s="32"/>
    </row>
    <row r="37" spans="2:5">
      <c r="B37" s="32"/>
      <c r="C37" s="32"/>
      <c r="D37" s="32"/>
      <c r="E37" s="32"/>
    </row>
    <row r="38" spans="2:5" ht="18">
      <c r="B38" s="35"/>
      <c r="C38" s="32"/>
      <c r="D38" s="32"/>
      <c r="E38" s="32"/>
    </row>
    <row r="39" spans="2:5">
      <c r="B39" s="32"/>
      <c r="C39" s="32"/>
      <c r="D39" s="32"/>
      <c r="E39" s="32"/>
    </row>
    <row r="40" spans="2:5">
      <c r="B40" s="32"/>
      <c r="C40" s="32"/>
      <c r="D40" s="32"/>
      <c r="E40" s="32"/>
    </row>
    <row r="41" spans="2:5">
      <c r="B41" s="32"/>
      <c r="C41" s="32"/>
      <c r="D41" s="32"/>
      <c r="E41" s="32"/>
    </row>
    <row r="42" spans="2:5">
      <c r="B42" s="33"/>
      <c r="C42" s="32"/>
      <c r="D42" s="32"/>
      <c r="E42" s="32"/>
    </row>
    <row r="43" spans="2:5">
      <c r="B43" s="32"/>
      <c r="C43" s="32"/>
      <c r="D43" s="32"/>
      <c r="E43" s="32"/>
    </row>
    <row r="44" spans="2:5">
      <c r="B44" s="33"/>
      <c r="C44" s="32"/>
      <c r="D44" s="32"/>
      <c r="E44" s="32"/>
    </row>
    <row r="45" spans="2:5">
      <c r="B45" s="32"/>
      <c r="C45" s="32"/>
      <c r="D45" s="32"/>
      <c r="E45" s="32"/>
    </row>
    <row r="46" spans="2:5">
      <c r="B46" s="33"/>
      <c r="C46" s="32"/>
      <c r="D46" s="32"/>
      <c r="E46" s="32"/>
    </row>
    <row r="47" spans="2:5">
      <c r="B47" s="32"/>
      <c r="C47" s="32"/>
      <c r="D47" s="32"/>
      <c r="E47" s="32"/>
    </row>
    <row r="48" spans="2:5">
      <c r="B48" s="33"/>
      <c r="C48" s="32"/>
      <c r="D48" s="32"/>
      <c r="E48" s="32"/>
    </row>
    <row r="49" spans="2:5">
      <c r="B49" s="32"/>
      <c r="C49" s="32"/>
      <c r="D49" s="32"/>
      <c r="E49" s="32"/>
    </row>
    <row r="50" spans="2:5">
      <c r="B50" s="32"/>
      <c r="C50" s="32"/>
      <c r="D50" s="32"/>
      <c r="E50" s="32"/>
    </row>
    <row r="51" spans="2:5">
      <c r="B51" s="32"/>
      <c r="C51" s="32"/>
      <c r="D51" s="32"/>
      <c r="E51" s="32"/>
    </row>
    <row r="52" spans="2:5" ht="18">
      <c r="B52" s="35"/>
      <c r="C52" s="32"/>
      <c r="D52" s="32"/>
      <c r="E52" s="32"/>
    </row>
    <row r="53" spans="2:5">
      <c r="B53" s="32"/>
      <c r="C53" s="32"/>
      <c r="D53" s="32"/>
      <c r="E53" s="32"/>
    </row>
    <row r="54" spans="2:5">
      <c r="B54" s="32"/>
      <c r="C54" s="32"/>
      <c r="D54" s="32"/>
      <c r="E5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AEA6-B565-4963-A4AC-7B06BE4FF1AE}">
  <dimension ref="A1:AT3"/>
  <sheetViews>
    <sheetView topLeftCell="D1" zoomScale="85" zoomScaleNormal="85" workbookViewId="0">
      <selection activeCell="D3" sqref="A3:XFD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9.33203125" bestFit="1" customWidth="1"/>
    <col min="16" max="16" width="15.33203125" bestFit="1" customWidth="1"/>
    <col min="17" max="17" width="15.6640625" bestFit="1" customWidth="1"/>
    <col min="18" max="18" width="6.77734375" bestFit="1" customWidth="1"/>
    <col min="19" max="19" width="10.5546875" bestFit="1" customWidth="1"/>
    <col min="20" max="20" width="14.44140625" bestFit="1" customWidth="1"/>
    <col min="21" max="21" width="10.33203125" bestFit="1" customWidth="1"/>
    <col min="22" max="22" width="16" bestFit="1" customWidth="1"/>
    <col min="23" max="23" width="18.77734375" bestFit="1" customWidth="1"/>
    <col min="24" max="24" width="18.109375" bestFit="1" customWidth="1"/>
    <col min="25" max="25" width="21.88671875" bestFit="1" customWidth="1"/>
    <col min="26" max="26" width="23.33203125" bestFit="1" customWidth="1"/>
    <col min="27" max="27" width="20.21875" bestFit="1" customWidth="1"/>
    <col min="28" max="28" width="20.5546875" bestFit="1" customWidth="1"/>
    <col min="29" max="29" width="25.21875" bestFit="1" customWidth="1"/>
    <col min="30" max="30" width="26.33203125" bestFit="1" customWidth="1"/>
    <col min="31" max="31" width="28.21875" bestFit="1" customWidth="1"/>
    <col min="32" max="32" width="18.21875" bestFit="1" customWidth="1"/>
    <col min="33" max="33" width="17.44140625" bestFit="1" customWidth="1"/>
    <col min="34" max="34" width="34.77734375" bestFit="1" customWidth="1"/>
    <col min="35" max="35" width="26.5546875" bestFit="1" customWidth="1"/>
    <col min="36" max="36" width="27.21875" bestFit="1" customWidth="1"/>
    <col min="37" max="37" width="18.44140625" bestFit="1" customWidth="1"/>
    <col min="38" max="38" width="19.109375" bestFit="1" customWidth="1"/>
    <col min="39" max="39" width="25.6640625" bestFit="1" customWidth="1"/>
    <col min="40" max="40" width="33.33203125" bestFit="1" customWidth="1"/>
    <col min="41" max="41" width="19.109375" bestFit="1" customWidth="1"/>
    <col min="42" max="45" width="13.21875" bestFit="1" customWidth="1"/>
    <col min="46" max="49" width="25.5546875" bestFit="1" customWidth="1"/>
    <col min="50" max="50" width="12.77734375" bestFit="1" customWidth="1"/>
    <col min="51" max="51" width="18" bestFit="1" customWidth="1"/>
    <col min="52" max="52" width="22.6640625" bestFit="1" customWidth="1"/>
    <col min="53" max="53" width="19.88671875" bestFit="1" customWidth="1"/>
    <col min="54" max="54" width="21" bestFit="1" customWidth="1"/>
    <col min="55" max="55" width="16.33203125" bestFit="1" customWidth="1"/>
    <col min="56" max="56" width="25.109375" bestFit="1" customWidth="1"/>
    <col min="57" max="58" width="9.5546875" bestFit="1" customWidth="1"/>
    <col min="59" max="59" width="8.33203125" bestFit="1" customWidth="1"/>
    <col min="60" max="60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2</v>
      </c>
      <c r="B2" s="15">
        <v>45936.444756944446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s="16">
        <v>101253</v>
      </c>
      <c r="J2">
        <v>34</v>
      </c>
      <c r="K2" s="16">
        <v>3198</v>
      </c>
      <c r="L2" s="16">
        <v>2311</v>
      </c>
      <c r="M2" s="16">
        <v>8907</v>
      </c>
      <c r="N2" s="16">
        <v>13992</v>
      </c>
      <c r="O2" s="16">
        <v>1931</v>
      </c>
      <c r="P2" s="16">
        <v>3796</v>
      </c>
      <c r="Q2" s="16">
        <v>5112</v>
      </c>
      <c r="R2" t="s">
        <v>79</v>
      </c>
      <c r="S2">
        <v>29</v>
      </c>
      <c r="T2" s="16">
        <v>62069</v>
      </c>
      <c r="U2" s="16">
        <v>31803</v>
      </c>
      <c r="V2" t="s">
        <v>80</v>
      </c>
      <c r="W2">
        <v>24</v>
      </c>
      <c r="X2" s="16">
        <v>6207</v>
      </c>
      <c r="Y2" s="16">
        <v>82927</v>
      </c>
      <c r="Z2" s="16">
        <v>82368</v>
      </c>
      <c r="AA2">
        <v>87</v>
      </c>
      <c r="AB2" t="s">
        <v>81</v>
      </c>
      <c r="AC2" t="s">
        <v>81</v>
      </c>
      <c r="AD2" t="s">
        <v>82</v>
      </c>
      <c r="AE2">
        <v>85</v>
      </c>
      <c r="AF2">
        <v>0</v>
      </c>
      <c r="AG2">
        <v>0</v>
      </c>
      <c r="AH2">
        <v>0</v>
      </c>
      <c r="AI2" s="16">
        <v>18661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57849</v>
      </c>
      <c r="AR2" s="16">
        <v>62069</v>
      </c>
      <c r="AS2">
        <v>0</v>
      </c>
      <c r="AT2" s="16">
        <v>47756</v>
      </c>
    </row>
    <row r="3" spans="1:46">
      <c r="A3">
        <v>3</v>
      </c>
      <c r="B3" s="15">
        <v>45936.460763888892</v>
      </c>
      <c r="C3" t="s">
        <v>195</v>
      </c>
      <c r="D3" t="s">
        <v>282</v>
      </c>
      <c r="E3" t="s">
        <v>197</v>
      </c>
      <c r="F3" s="16">
        <v>270604</v>
      </c>
      <c r="G3" t="s">
        <v>198</v>
      </c>
      <c r="H3" t="s">
        <v>283</v>
      </c>
      <c r="I3" s="16">
        <v>123745</v>
      </c>
      <c r="J3">
        <v>45</v>
      </c>
      <c r="K3" s="16">
        <v>3115</v>
      </c>
      <c r="L3" s="16">
        <v>2062</v>
      </c>
      <c r="M3" s="16">
        <v>9546</v>
      </c>
      <c r="N3" s="16">
        <v>22442</v>
      </c>
      <c r="O3" s="16">
        <v>3309</v>
      </c>
      <c r="P3" s="16">
        <v>1301</v>
      </c>
      <c r="Q3" s="16">
        <v>22442</v>
      </c>
      <c r="R3" t="s">
        <v>284</v>
      </c>
      <c r="S3">
        <v>36</v>
      </c>
      <c r="T3" s="16">
        <v>66667</v>
      </c>
      <c r="U3" s="16">
        <v>34289</v>
      </c>
      <c r="V3" s="16">
        <v>3346866</v>
      </c>
      <c r="W3">
        <v>39</v>
      </c>
      <c r="X3" s="16">
        <v>9725</v>
      </c>
      <c r="Y3" s="16">
        <v>158019</v>
      </c>
      <c r="Z3" t="s">
        <v>285</v>
      </c>
      <c r="AA3">
        <v>182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46398</v>
      </c>
      <c r="AR3" s="16">
        <v>66667</v>
      </c>
      <c r="AS3">
        <v>0</v>
      </c>
      <c r="AT3" s="16">
        <v>44212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AEA6-DDE5-40AD-B4D6-8EE6E90A1C55}">
  <dimension ref="A1:AT3"/>
  <sheetViews>
    <sheetView topLeftCell="U1" workbookViewId="0">
      <selection activeCell="A3" sqref="A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45936.486620370371</v>
      </c>
      <c r="C2" t="s">
        <v>73</v>
      </c>
      <c r="D2" t="s">
        <v>202</v>
      </c>
      <c r="E2" t="s">
        <v>75</v>
      </c>
      <c r="F2" t="s">
        <v>76</v>
      </c>
      <c r="G2" t="s">
        <v>77</v>
      </c>
      <c r="H2" t="s">
        <v>203</v>
      </c>
      <c r="I2" s="16">
        <v>110901</v>
      </c>
      <c r="J2">
        <v>27</v>
      </c>
      <c r="K2" s="16">
        <v>4242</v>
      </c>
      <c r="L2" s="16">
        <v>3958</v>
      </c>
      <c r="M2" s="16">
        <v>9915</v>
      </c>
      <c r="N2" s="16">
        <v>12161</v>
      </c>
      <c r="O2" s="16">
        <v>3679</v>
      </c>
      <c r="P2" s="16">
        <v>4758</v>
      </c>
      <c r="R2" t="s">
        <v>204</v>
      </c>
      <c r="S2">
        <v>23</v>
      </c>
      <c r="T2" t="s">
        <v>205</v>
      </c>
      <c r="U2" s="16">
        <v>24033</v>
      </c>
      <c r="V2" s="16">
        <v>753768</v>
      </c>
      <c r="W2">
        <v>1</v>
      </c>
      <c r="X2" t="s">
        <v>206</v>
      </c>
      <c r="Y2" s="16">
        <v>57447</v>
      </c>
      <c r="Z2" s="16">
        <v>78448</v>
      </c>
      <c r="AA2">
        <v>58</v>
      </c>
      <c r="AB2">
        <v>85</v>
      </c>
      <c r="AC2">
        <v>85</v>
      </c>
      <c r="AD2">
        <v>85</v>
      </c>
      <c r="AE2">
        <v>85</v>
      </c>
      <c r="AF2" t="s">
        <v>207</v>
      </c>
      <c r="AG2" s="16">
        <v>1611</v>
      </c>
      <c r="AH2" s="16">
        <v>1611</v>
      </c>
      <c r="AI2" s="16">
        <v>14454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53833</v>
      </c>
      <c r="AR2" t="s">
        <v>205</v>
      </c>
      <c r="AS2" s="16">
        <v>26253</v>
      </c>
      <c r="AT2" s="16">
        <v>43171</v>
      </c>
    </row>
    <row r="3" spans="1:46">
      <c r="A3">
        <v>2</v>
      </c>
      <c r="B3" s="15">
        <v>45936.502245370371</v>
      </c>
      <c r="C3" t="s">
        <v>195</v>
      </c>
      <c r="D3" t="s">
        <v>282</v>
      </c>
      <c r="E3" t="s">
        <v>197</v>
      </c>
      <c r="F3" s="16">
        <v>270604</v>
      </c>
      <c r="G3" t="s">
        <v>198</v>
      </c>
      <c r="H3" t="s">
        <v>286</v>
      </c>
      <c r="I3" s="16">
        <v>113861</v>
      </c>
      <c r="J3">
        <v>44</v>
      </c>
      <c r="K3" s="16">
        <v>2937</v>
      </c>
      <c r="L3" s="16">
        <v>1572</v>
      </c>
      <c r="M3" s="16">
        <v>10744</v>
      </c>
      <c r="N3" s="16">
        <v>15183</v>
      </c>
      <c r="O3" s="16">
        <v>2758</v>
      </c>
      <c r="P3" s="16">
        <v>2698</v>
      </c>
      <c r="Q3" s="16">
        <v>10445</v>
      </c>
      <c r="R3" t="s">
        <v>287</v>
      </c>
      <c r="S3">
        <v>37</v>
      </c>
      <c r="T3" t="s">
        <v>288</v>
      </c>
      <c r="U3" s="16">
        <v>42643</v>
      </c>
      <c r="V3" s="16">
        <v>1094169</v>
      </c>
      <c r="W3">
        <v>35</v>
      </c>
      <c r="X3" s="16">
        <v>9813</v>
      </c>
      <c r="Y3" s="16">
        <v>101475</v>
      </c>
      <c r="Z3" s="16">
        <v>108026</v>
      </c>
      <c r="AA3">
        <v>108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t="s">
        <v>289</v>
      </c>
      <c r="AR3" t="s">
        <v>288</v>
      </c>
      <c r="AS3">
        <v>0</v>
      </c>
      <c r="AT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7DAF-45ED-4597-800A-9C33DA3289B0}">
  <dimension ref="A1:AT3"/>
  <sheetViews>
    <sheetView workbookViewId="0">
      <selection activeCell="A3" sqref="A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45936.528495370374</v>
      </c>
      <c r="C2" t="s">
        <v>73</v>
      </c>
      <c r="D2" t="s">
        <v>209</v>
      </c>
      <c r="E2" t="s">
        <v>75</v>
      </c>
      <c r="F2" t="s">
        <v>76</v>
      </c>
      <c r="G2" t="s">
        <v>77</v>
      </c>
      <c r="H2" t="s">
        <v>210</v>
      </c>
      <c r="I2" s="16">
        <v>104887</v>
      </c>
      <c r="J2">
        <v>31</v>
      </c>
      <c r="K2" s="16">
        <v>3342</v>
      </c>
      <c r="L2" s="16">
        <v>1388</v>
      </c>
      <c r="M2" s="16">
        <v>11135</v>
      </c>
      <c r="N2" s="16">
        <v>26726</v>
      </c>
      <c r="O2" s="16">
        <v>2182</v>
      </c>
      <c r="P2" t="s">
        <v>211</v>
      </c>
      <c r="Q2" s="16">
        <v>4802</v>
      </c>
      <c r="R2" t="s">
        <v>212</v>
      </c>
      <c r="S2">
        <v>28</v>
      </c>
      <c r="T2" s="16">
        <v>67857</v>
      </c>
      <c r="U2" s="16">
        <v>32556</v>
      </c>
      <c r="V2" t="s">
        <v>213</v>
      </c>
      <c r="W2">
        <v>17</v>
      </c>
      <c r="X2" s="16">
        <v>2929</v>
      </c>
      <c r="Y2" s="16">
        <v>99663</v>
      </c>
      <c r="Z2" t="s">
        <v>214</v>
      </c>
      <c r="AA2">
        <v>112</v>
      </c>
      <c r="AB2" t="s">
        <v>153</v>
      </c>
      <c r="AC2" t="s">
        <v>215</v>
      </c>
      <c r="AD2" t="s">
        <v>216</v>
      </c>
      <c r="AE2">
        <v>85</v>
      </c>
      <c r="AF2">
        <v>0</v>
      </c>
      <c r="AG2">
        <v>0</v>
      </c>
      <c r="AH2">
        <v>0</v>
      </c>
      <c r="AI2" s="16">
        <v>15286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56335</v>
      </c>
      <c r="AR2" s="16">
        <v>67857</v>
      </c>
      <c r="AS2">
        <v>0</v>
      </c>
      <c r="AT2" s="16">
        <v>49101</v>
      </c>
    </row>
    <row r="3" spans="1:46">
      <c r="A3">
        <v>1</v>
      </c>
      <c r="B3" s="15">
        <v>45936.541875000003</v>
      </c>
      <c r="C3" t="s">
        <v>195</v>
      </c>
      <c r="D3" t="s">
        <v>196</v>
      </c>
      <c r="E3" t="s">
        <v>197</v>
      </c>
      <c r="F3" s="16">
        <v>270604</v>
      </c>
      <c r="G3" t="s">
        <v>198</v>
      </c>
      <c r="H3" t="s">
        <v>199</v>
      </c>
      <c r="I3" s="16">
        <v>120619</v>
      </c>
      <c r="J3">
        <v>21</v>
      </c>
      <c r="K3" s="16">
        <v>5361</v>
      </c>
      <c r="L3" s="16">
        <v>3126</v>
      </c>
      <c r="M3" t="s">
        <v>200</v>
      </c>
      <c r="N3" s="16">
        <v>21133</v>
      </c>
      <c r="O3" s="16">
        <v>6848</v>
      </c>
      <c r="P3" s="16">
        <v>2444</v>
      </c>
      <c r="Q3" s="16">
        <v>21133</v>
      </c>
      <c r="R3" t="s">
        <v>201</v>
      </c>
      <c r="S3">
        <v>20</v>
      </c>
      <c r="T3">
        <v>50</v>
      </c>
      <c r="U3" s="16">
        <v>18387</v>
      </c>
      <c r="V3" s="16">
        <v>546236</v>
      </c>
      <c r="W3">
        <v>8</v>
      </c>
      <c r="X3" s="16">
        <v>1589</v>
      </c>
      <c r="Y3" s="16">
        <v>31575</v>
      </c>
      <c r="Z3" s="16">
        <v>28851</v>
      </c>
      <c r="AA3">
        <v>19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46206</v>
      </c>
      <c r="AR3">
        <v>50</v>
      </c>
      <c r="AS3" s="16">
        <v>1532</v>
      </c>
      <c r="AT3" s="16">
        <v>38599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951-8DF3-4EAD-9ECF-58CFDAC621C7}">
  <dimension ref="A1:AT3"/>
  <sheetViews>
    <sheetView workbookViewId="0">
      <selection activeCell="G25" sqref="F25:G28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45936.56826388889</v>
      </c>
      <c r="C2" t="s">
        <v>73</v>
      </c>
      <c r="D2" t="s">
        <v>188</v>
      </c>
      <c r="E2" t="s">
        <v>75</v>
      </c>
      <c r="F2" t="s">
        <v>76</v>
      </c>
      <c r="G2" t="s">
        <v>77</v>
      </c>
      <c r="H2" t="s">
        <v>189</v>
      </c>
      <c r="I2" s="16">
        <v>110599</v>
      </c>
      <c r="J2">
        <v>33</v>
      </c>
      <c r="K2" s="16">
        <v>3386</v>
      </c>
      <c r="L2" t="s">
        <v>190</v>
      </c>
      <c r="M2" s="16">
        <v>11154</v>
      </c>
      <c r="N2" s="16">
        <v>15515</v>
      </c>
      <c r="O2" s="16">
        <v>2464</v>
      </c>
      <c r="P2" s="16">
        <v>3644</v>
      </c>
      <c r="Q2" s="16">
        <v>11236</v>
      </c>
      <c r="R2" t="s">
        <v>191</v>
      </c>
      <c r="S2">
        <v>30</v>
      </c>
      <c r="T2" s="16">
        <v>53333</v>
      </c>
      <c r="U2" s="16">
        <v>30634</v>
      </c>
      <c r="V2" s="16">
        <v>1214932</v>
      </c>
      <c r="W2">
        <v>32</v>
      </c>
      <c r="X2" s="16">
        <v>6239</v>
      </c>
      <c r="Y2" s="16">
        <v>73686</v>
      </c>
      <c r="Z2" s="16">
        <v>81918</v>
      </c>
      <c r="AA2">
        <v>76</v>
      </c>
      <c r="AB2" t="s">
        <v>192</v>
      </c>
      <c r="AC2" t="s">
        <v>193</v>
      </c>
      <c r="AD2" t="s">
        <v>82</v>
      </c>
      <c r="AE2" t="s">
        <v>194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53957</v>
      </c>
      <c r="AR2" s="16">
        <v>53333</v>
      </c>
      <c r="AS2">
        <v>0</v>
      </c>
      <c r="AT2" s="16">
        <v>42947</v>
      </c>
    </row>
    <row r="3" spans="1:46">
      <c r="A3">
        <v>1</v>
      </c>
      <c r="B3" s="15">
        <v>45936.581493055557</v>
      </c>
      <c r="C3" t="s">
        <v>195</v>
      </c>
      <c r="D3" t="s">
        <v>291</v>
      </c>
      <c r="E3" t="s">
        <v>197</v>
      </c>
      <c r="F3" s="16">
        <v>270604</v>
      </c>
      <c r="G3" t="s">
        <v>198</v>
      </c>
      <c r="H3" t="s">
        <v>292</v>
      </c>
      <c r="I3" s="16">
        <v>127955</v>
      </c>
      <c r="J3">
        <v>40</v>
      </c>
      <c r="K3" s="16">
        <v>3262</v>
      </c>
      <c r="L3" s="16">
        <v>1615</v>
      </c>
      <c r="M3" s="16">
        <v>13709</v>
      </c>
      <c r="N3" t="s">
        <v>293</v>
      </c>
      <c r="O3" s="16">
        <v>4285</v>
      </c>
      <c r="P3" s="16">
        <v>1775</v>
      </c>
      <c r="Q3" s="16">
        <v>17296</v>
      </c>
      <c r="R3" t="s">
        <v>294</v>
      </c>
      <c r="S3">
        <v>29</v>
      </c>
      <c r="T3" s="16">
        <v>72414</v>
      </c>
      <c r="U3" s="16">
        <v>42688</v>
      </c>
      <c r="V3" s="16">
        <v>1012998</v>
      </c>
      <c r="W3">
        <v>54</v>
      </c>
      <c r="X3" t="s">
        <v>295</v>
      </c>
      <c r="Y3" s="16">
        <v>89167</v>
      </c>
      <c r="Z3" s="16">
        <v>100348</v>
      </c>
      <c r="AA3">
        <v>94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44072</v>
      </c>
      <c r="AR3" s="16">
        <v>72414</v>
      </c>
      <c r="AS3">
        <v>0</v>
      </c>
      <c r="AT3" s="16">
        <v>45177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CE-8D26-4FEB-A230-8708C78884BA}">
  <dimension ref="A1:AT3"/>
  <sheetViews>
    <sheetView topLeftCell="Q1" workbookViewId="0">
      <selection activeCell="A3" sqref="A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45936.617731481485</v>
      </c>
      <c r="C2" t="s">
        <v>73</v>
      </c>
      <c r="D2" t="s">
        <v>106</v>
      </c>
      <c r="E2" t="s">
        <v>75</v>
      </c>
      <c r="F2" t="s">
        <v>76</v>
      </c>
      <c r="G2" t="s">
        <v>77</v>
      </c>
      <c r="H2" t="s">
        <v>107</v>
      </c>
      <c r="I2" s="16">
        <v>62049</v>
      </c>
      <c r="J2">
        <v>19</v>
      </c>
      <c r="K2" s="16">
        <v>3462</v>
      </c>
      <c r="L2" s="16">
        <v>2074</v>
      </c>
      <c r="M2" s="16">
        <v>10653</v>
      </c>
      <c r="N2" s="16">
        <v>11697</v>
      </c>
      <c r="O2" s="16">
        <v>4484</v>
      </c>
      <c r="P2" s="16">
        <v>1713</v>
      </c>
      <c r="Q2" s="16">
        <v>10305</v>
      </c>
      <c r="R2" t="s">
        <v>108</v>
      </c>
      <c r="S2">
        <v>16</v>
      </c>
      <c r="T2">
        <v>75</v>
      </c>
      <c r="U2" s="16">
        <v>14361</v>
      </c>
      <c r="V2" s="16">
        <v>786981</v>
      </c>
      <c r="W2">
        <v>6</v>
      </c>
      <c r="X2" s="16">
        <v>1669</v>
      </c>
      <c r="Y2" s="16">
        <v>38966</v>
      </c>
      <c r="Z2" s="16">
        <v>34811</v>
      </c>
      <c r="AA2">
        <v>30</v>
      </c>
      <c r="AB2">
        <v>85</v>
      </c>
      <c r="AC2">
        <v>85</v>
      </c>
      <c r="AD2">
        <v>85</v>
      </c>
      <c r="AE2">
        <v>85</v>
      </c>
      <c r="AF2" t="s">
        <v>109</v>
      </c>
      <c r="AG2" s="16">
        <v>1127</v>
      </c>
      <c r="AH2" s="16">
        <v>1127</v>
      </c>
      <c r="AI2" t="s">
        <v>110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74169</v>
      </c>
      <c r="AR2">
        <v>75</v>
      </c>
      <c r="AS2" s="16">
        <v>7519</v>
      </c>
      <c r="AT2" t="s">
        <v>111</v>
      </c>
    </row>
    <row r="3" spans="1:46">
      <c r="A3">
        <v>1</v>
      </c>
      <c r="B3" s="15">
        <v>45936.63008101852</v>
      </c>
      <c r="C3" t="s">
        <v>195</v>
      </c>
      <c r="D3" t="s">
        <v>352</v>
      </c>
      <c r="E3" t="s">
        <v>197</v>
      </c>
      <c r="F3" s="16">
        <v>270604</v>
      </c>
      <c r="G3" t="s">
        <v>198</v>
      </c>
      <c r="H3" t="s">
        <v>353</v>
      </c>
      <c r="I3" t="s">
        <v>354</v>
      </c>
      <c r="J3">
        <v>23</v>
      </c>
      <c r="K3" s="16">
        <v>5095</v>
      </c>
      <c r="L3" s="16">
        <v>2478</v>
      </c>
      <c r="M3" s="16">
        <v>14174</v>
      </c>
      <c r="N3" s="16">
        <v>21972</v>
      </c>
      <c r="O3" t="s">
        <v>355</v>
      </c>
      <c r="P3" s="16">
        <v>3637</v>
      </c>
      <c r="Q3" s="16">
        <v>21972</v>
      </c>
      <c r="R3" t="s">
        <v>356</v>
      </c>
      <c r="S3">
        <v>21</v>
      </c>
      <c r="T3" s="16">
        <v>52381</v>
      </c>
      <c r="U3" s="16">
        <v>24214</v>
      </c>
      <c r="V3" s="16">
        <v>459247</v>
      </c>
      <c r="W3">
        <v>22</v>
      </c>
      <c r="X3" s="16">
        <v>5947</v>
      </c>
      <c r="Y3" s="16">
        <v>45742</v>
      </c>
      <c r="Z3" s="16">
        <v>53107</v>
      </c>
      <c r="AA3">
        <v>34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48827</v>
      </c>
      <c r="AR3" s="16">
        <v>52381</v>
      </c>
      <c r="AS3">
        <v>0</v>
      </c>
      <c r="AT3" s="16">
        <v>40305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ADB4-24BF-43E9-A652-1895FCE72449}">
  <dimension ref="A1:AT3"/>
  <sheetViews>
    <sheetView topLeftCell="N1" workbookViewId="0">
      <selection activeCell="A4" sqref="A4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45937.412233796298</v>
      </c>
      <c r="C2" t="s">
        <v>73</v>
      </c>
      <c r="D2" t="s">
        <v>112</v>
      </c>
      <c r="E2" t="s">
        <v>75</v>
      </c>
      <c r="F2" t="s">
        <v>76</v>
      </c>
      <c r="G2" t="s">
        <v>77</v>
      </c>
      <c r="H2" t="s">
        <v>113</v>
      </c>
      <c r="I2" s="16">
        <v>131738</v>
      </c>
      <c r="J2">
        <v>29</v>
      </c>
      <c r="K2" s="16">
        <v>4537</v>
      </c>
      <c r="L2" s="16">
        <v>3691</v>
      </c>
      <c r="M2" s="16">
        <v>12404</v>
      </c>
      <c r="N2" t="s">
        <v>114</v>
      </c>
      <c r="O2" s="16">
        <v>3319</v>
      </c>
      <c r="P2" s="16">
        <v>5378</v>
      </c>
      <c r="Q2" t="s">
        <v>115</v>
      </c>
      <c r="R2" t="s">
        <v>116</v>
      </c>
      <c r="S2">
        <v>20</v>
      </c>
      <c r="T2">
        <v>45</v>
      </c>
      <c r="U2" s="16">
        <v>27186</v>
      </c>
      <c r="V2" s="16">
        <v>5199479</v>
      </c>
      <c r="W2">
        <v>5</v>
      </c>
      <c r="X2" t="s">
        <v>117</v>
      </c>
      <c r="Y2" s="16">
        <v>122644</v>
      </c>
      <c r="Z2" s="16">
        <v>124338</v>
      </c>
      <c r="AA2">
        <v>147</v>
      </c>
      <c r="AB2">
        <v>85</v>
      </c>
      <c r="AC2">
        <v>85</v>
      </c>
      <c r="AD2">
        <v>85</v>
      </c>
      <c r="AE2">
        <v>85</v>
      </c>
      <c r="AF2" t="s">
        <v>118</v>
      </c>
      <c r="AG2" t="s">
        <v>118</v>
      </c>
      <c r="AH2" t="s">
        <v>118</v>
      </c>
      <c r="AI2" s="16">
        <v>17646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45157</v>
      </c>
      <c r="AR2">
        <v>45</v>
      </c>
      <c r="AS2" s="16">
        <v>11266</v>
      </c>
      <c r="AT2" s="16">
        <v>38324</v>
      </c>
    </row>
    <row r="3" spans="1:46">
      <c r="A3">
        <v>2</v>
      </c>
      <c r="B3" s="15">
        <v>45937.428807870368</v>
      </c>
      <c r="C3" t="s">
        <v>195</v>
      </c>
      <c r="D3" t="s">
        <v>357</v>
      </c>
      <c r="E3" t="s">
        <v>197</v>
      </c>
      <c r="F3" s="16">
        <v>270604</v>
      </c>
      <c r="G3" t="s">
        <v>198</v>
      </c>
      <c r="H3" t="s">
        <v>358</v>
      </c>
      <c r="I3" s="16">
        <v>124174</v>
      </c>
      <c r="J3">
        <v>33</v>
      </c>
      <c r="K3" s="16">
        <v>3307</v>
      </c>
      <c r="L3" s="16">
        <v>2117</v>
      </c>
      <c r="M3" s="16">
        <v>10238</v>
      </c>
      <c r="N3" s="16">
        <v>11598</v>
      </c>
      <c r="O3" s="16">
        <v>2941</v>
      </c>
      <c r="P3" s="16">
        <v>3103</v>
      </c>
      <c r="Q3" s="16">
        <v>11598</v>
      </c>
      <c r="R3" t="s">
        <v>359</v>
      </c>
      <c r="S3">
        <v>29</v>
      </c>
      <c r="T3" s="16">
        <v>62069</v>
      </c>
      <c r="U3" s="16">
        <v>36922</v>
      </c>
      <c r="V3" s="16">
        <v>5478115</v>
      </c>
      <c r="W3">
        <v>18</v>
      </c>
      <c r="X3" s="16">
        <v>4105</v>
      </c>
      <c r="Y3" s="16">
        <v>81011</v>
      </c>
      <c r="Z3" s="16">
        <v>82143</v>
      </c>
      <c r="AA3">
        <v>74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t="s">
        <v>360</v>
      </c>
      <c r="AR3" s="16">
        <v>62069</v>
      </c>
      <c r="AS3">
        <v>0</v>
      </c>
      <c r="AT3" s="16">
        <v>41659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125C-66B4-46B5-958A-342CA9267CF8}">
  <dimension ref="A1:AT3"/>
  <sheetViews>
    <sheetView workbookViewId="0">
      <selection activeCell="C8" sqref="C8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45937.454398148147</v>
      </c>
      <c r="C2" t="s">
        <v>73</v>
      </c>
      <c r="D2" t="s">
        <v>119</v>
      </c>
      <c r="E2" t="s">
        <v>75</v>
      </c>
      <c r="F2" t="s">
        <v>76</v>
      </c>
      <c r="G2" t="s">
        <v>77</v>
      </c>
      <c r="H2" t="s">
        <v>120</v>
      </c>
      <c r="I2" s="16">
        <v>124377</v>
      </c>
      <c r="J2">
        <v>43</v>
      </c>
      <c r="K2" s="16">
        <v>2731</v>
      </c>
      <c r="L2" s="16">
        <v>2019</v>
      </c>
      <c r="M2" s="16">
        <v>7473</v>
      </c>
      <c r="N2" s="16">
        <v>11986</v>
      </c>
      <c r="O2" s="16">
        <v>2972</v>
      </c>
      <c r="P2" s="16">
        <v>2584</v>
      </c>
      <c r="R2" t="s">
        <v>121</v>
      </c>
      <c r="S2">
        <v>37</v>
      </c>
      <c r="T2" s="16">
        <v>64865</v>
      </c>
      <c r="U2" t="s">
        <v>122</v>
      </c>
      <c r="V2" s="16">
        <v>605683</v>
      </c>
      <c r="W2">
        <v>44</v>
      </c>
      <c r="X2" s="16">
        <v>12066</v>
      </c>
      <c r="Y2" s="16">
        <v>117646</v>
      </c>
      <c r="Z2" s="16">
        <v>157746</v>
      </c>
      <c r="AA2">
        <v>138</v>
      </c>
      <c r="AB2" t="s">
        <v>123</v>
      </c>
      <c r="AC2" t="s">
        <v>124</v>
      </c>
      <c r="AD2" t="s">
        <v>82</v>
      </c>
      <c r="AE2">
        <v>85</v>
      </c>
      <c r="AF2">
        <v>0</v>
      </c>
      <c r="AG2">
        <v>0</v>
      </c>
      <c r="AH2">
        <v>0</v>
      </c>
      <c r="AI2" s="16">
        <v>27368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48222</v>
      </c>
      <c r="AR2" s="16">
        <v>64865</v>
      </c>
      <c r="AS2">
        <v>0</v>
      </c>
      <c r="AT2" s="16">
        <v>44403</v>
      </c>
    </row>
    <row r="3" spans="1:46">
      <c r="A3">
        <v>2</v>
      </c>
      <c r="B3" s="15">
        <v>45937.46534722222</v>
      </c>
      <c r="C3" t="s">
        <v>195</v>
      </c>
      <c r="D3" t="s">
        <v>361</v>
      </c>
      <c r="E3" t="s">
        <v>197</v>
      </c>
      <c r="F3" s="16">
        <v>270604</v>
      </c>
      <c r="G3" t="s">
        <v>198</v>
      </c>
      <c r="H3" t="s">
        <v>362</v>
      </c>
      <c r="I3" s="16">
        <v>140043</v>
      </c>
      <c r="J3">
        <v>41</v>
      </c>
      <c r="K3" s="16">
        <v>3068</v>
      </c>
      <c r="L3" s="16">
        <v>2227</v>
      </c>
      <c r="M3" s="16">
        <v>7594</v>
      </c>
      <c r="N3" s="16">
        <v>13852</v>
      </c>
      <c r="O3" s="16">
        <v>3261</v>
      </c>
      <c r="P3" s="16">
        <v>2343</v>
      </c>
      <c r="Q3" s="16">
        <v>4824</v>
      </c>
      <c r="R3" t="s">
        <v>363</v>
      </c>
      <c r="S3">
        <v>36</v>
      </c>
      <c r="T3" s="16">
        <v>72222</v>
      </c>
      <c r="U3" s="16">
        <v>45933</v>
      </c>
      <c r="V3" t="s">
        <v>364</v>
      </c>
      <c r="W3">
        <v>48</v>
      </c>
      <c r="X3" s="16">
        <v>13779</v>
      </c>
      <c r="Y3" t="s">
        <v>365</v>
      </c>
      <c r="Z3" s="16">
        <v>117392</v>
      </c>
      <c r="AA3">
        <v>136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37097</v>
      </c>
      <c r="AR3" s="16">
        <v>72222</v>
      </c>
      <c r="AS3">
        <v>0</v>
      </c>
      <c r="AT3" s="16">
        <v>41972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7D97-FF3D-45B0-8E4B-53CF1803B1D0}">
  <dimension ref="A1:AT3"/>
  <sheetViews>
    <sheetView workbookViewId="0">
      <selection activeCell="A3" sqref="A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45937.502118055556</v>
      </c>
      <c r="C2" t="s">
        <v>73</v>
      </c>
      <c r="D2" t="s">
        <v>125</v>
      </c>
      <c r="E2" t="s">
        <v>75</v>
      </c>
      <c r="F2" t="s">
        <v>76</v>
      </c>
      <c r="G2" t="s">
        <v>77</v>
      </c>
      <c r="H2" t="s">
        <v>126</v>
      </c>
      <c r="I2" s="16">
        <v>155167</v>
      </c>
      <c r="J2">
        <v>28</v>
      </c>
      <c r="K2" s="16">
        <v>5729</v>
      </c>
      <c r="L2" s="16">
        <v>3633</v>
      </c>
      <c r="M2" t="s">
        <v>127</v>
      </c>
      <c r="N2">
        <v>34</v>
      </c>
      <c r="O2" s="16">
        <v>7373</v>
      </c>
      <c r="P2" s="16">
        <v>4091</v>
      </c>
      <c r="Q2" s="16">
        <v>8925</v>
      </c>
      <c r="R2" t="s">
        <v>128</v>
      </c>
      <c r="S2">
        <v>27</v>
      </c>
      <c r="T2" s="16">
        <v>37037</v>
      </c>
      <c r="U2" s="16">
        <v>30777</v>
      </c>
      <c r="V2" t="s">
        <v>129</v>
      </c>
      <c r="W2">
        <v>19</v>
      </c>
      <c r="X2" s="16">
        <v>4526</v>
      </c>
      <c r="Y2" s="16">
        <v>64443</v>
      </c>
      <c r="Z2" s="16">
        <v>64576</v>
      </c>
      <c r="AA2">
        <v>63</v>
      </c>
      <c r="AB2">
        <v>85</v>
      </c>
      <c r="AC2">
        <v>85</v>
      </c>
      <c r="AD2">
        <v>85</v>
      </c>
      <c r="AE2">
        <v>85</v>
      </c>
      <c r="AF2" t="s">
        <v>105</v>
      </c>
      <c r="AG2" t="s">
        <v>105</v>
      </c>
      <c r="AH2" t="s">
        <v>105</v>
      </c>
      <c r="AI2" s="16">
        <v>15279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35404</v>
      </c>
      <c r="AR2" s="16">
        <v>37037</v>
      </c>
      <c r="AS2">
        <v>0</v>
      </c>
      <c r="AT2" s="16">
        <v>28895</v>
      </c>
    </row>
    <row r="3" spans="1:46">
      <c r="A3">
        <v>2</v>
      </c>
      <c r="B3" s="15">
        <v>45937.510555555556</v>
      </c>
      <c r="C3" t="s">
        <v>195</v>
      </c>
      <c r="D3" t="s">
        <v>366</v>
      </c>
      <c r="E3" t="s">
        <v>197</v>
      </c>
      <c r="F3" s="16">
        <v>270604</v>
      </c>
      <c r="G3" t="s">
        <v>198</v>
      </c>
      <c r="H3" t="s">
        <v>367</v>
      </c>
      <c r="I3" s="16">
        <v>138977</v>
      </c>
      <c r="J3">
        <v>28</v>
      </c>
      <c r="K3" s="16">
        <v>5779</v>
      </c>
      <c r="L3" s="16">
        <v>3892</v>
      </c>
      <c r="M3" t="s">
        <v>368</v>
      </c>
      <c r="N3" s="16">
        <v>21637</v>
      </c>
      <c r="O3" s="16">
        <v>7313</v>
      </c>
      <c r="P3" s="16">
        <v>5204</v>
      </c>
      <c r="R3" t="s">
        <v>369</v>
      </c>
      <c r="S3">
        <v>22</v>
      </c>
      <c r="T3">
        <v>50</v>
      </c>
      <c r="U3" s="16">
        <v>24748</v>
      </c>
      <c r="V3" s="16">
        <v>1380307</v>
      </c>
      <c r="W3">
        <v>2</v>
      </c>
      <c r="X3" t="s">
        <v>370</v>
      </c>
      <c r="Y3" s="16">
        <v>157073</v>
      </c>
      <c r="Z3" s="16">
        <v>153695</v>
      </c>
      <c r="AA3">
        <v>182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37808</v>
      </c>
      <c r="AR3">
        <v>50</v>
      </c>
      <c r="AS3" s="16">
        <v>21945</v>
      </c>
      <c r="AT3" s="16">
        <v>38903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C4B0-AA67-49ED-8615-103BFA3E391A}">
  <dimension ref="A1:AT3"/>
  <sheetViews>
    <sheetView workbookViewId="0">
      <selection activeCell="A3" sqref="A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45937.524421296293</v>
      </c>
      <c r="C2" t="s">
        <v>73</v>
      </c>
      <c r="D2" t="s">
        <v>130</v>
      </c>
      <c r="E2" t="s">
        <v>75</v>
      </c>
      <c r="F2" t="s">
        <v>76</v>
      </c>
      <c r="G2" t="s">
        <v>77</v>
      </c>
      <c r="H2" t="s">
        <v>131</v>
      </c>
      <c r="I2" s="16">
        <v>92094</v>
      </c>
      <c r="J2">
        <v>24</v>
      </c>
      <c r="K2" s="16">
        <v>3774</v>
      </c>
      <c r="L2" s="16">
        <v>2067</v>
      </c>
      <c r="M2" s="16">
        <v>10999</v>
      </c>
      <c r="N2" s="16">
        <v>13406</v>
      </c>
      <c r="O2" s="16">
        <v>3391</v>
      </c>
      <c r="P2" s="16">
        <v>3734</v>
      </c>
      <c r="Q2" s="16">
        <v>6363</v>
      </c>
      <c r="R2" t="s">
        <v>132</v>
      </c>
      <c r="S2">
        <v>20</v>
      </c>
      <c r="T2">
        <v>60</v>
      </c>
      <c r="U2" s="16">
        <v>28427</v>
      </c>
      <c r="V2" s="16">
        <v>1380111</v>
      </c>
      <c r="W2">
        <v>3</v>
      </c>
      <c r="X2" t="s">
        <v>133</v>
      </c>
      <c r="Y2" s="16">
        <v>99156</v>
      </c>
      <c r="Z2" s="16">
        <v>114665</v>
      </c>
      <c r="AA2">
        <v>116</v>
      </c>
      <c r="AB2">
        <v>85</v>
      </c>
      <c r="AC2">
        <v>85</v>
      </c>
      <c r="AD2">
        <v>85</v>
      </c>
      <c r="AE2">
        <v>85</v>
      </c>
      <c r="AF2" t="s">
        <v>134</v>
      </c>
      <c r="AG2" t="s">
        <v>134</v>
      </c>
      <c r="AH2" t="s">
        <v>134</v>
      </c>
      <c r="AI2" t="s">
        <v>135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61664</v>
      </c>
      <c r="AR2">
        <v>60</v>
      </c>
      <c r="AS2" s="16">
        <v>18761</v>
      </c>
      <c r="AT2" s="16">
        <v>52501</v>
      </c>
    </row>
    <row r="3" spans="1:46">
      <c r="A3">
        <v>2</v>
      </c>
      <c r="B3" s="15">
        <v>45937.533078703702</v>
      </c>
      <c r="C3" t="s">
        <v>195</v>
      </c>
      <c r="D3" t="s">
        <v>347</v>
      </c>
      <c r="E3" t="s">
        <v>197</v>
      </c>
      <c r="F3" s="16">
        <v>270604</v>
      </c>
      <c r="G3" t="s">
        <v>198</v>
      </c>
      <c r="H3" t="s">
        <v>348</v>
      </c>
      <c r="I3" s="16">
        <v>129932</v>
      </c>
      <c r="J3">
        <v>41</v>
      </c>
      <c r="K3" s="16">
        <v>3018</v>
      </c>
      <c r="L3" s="16">
        <v>2165</v>
      </c>
      <c r="M3" s="16">
        <v>6361</v>
      </c>
      <c r="N3" s="16">
        <v>30309</v>
      </c>
      <c r="O3" s="16">
        <v>3766</v>
      </c>
      <c r="P3" s="16">
        <v>2345</v>
      </c>
      <c r="R3" t="s">
        <v>349</v>
      </c>
      <c r="S3">
        <v>38</v>
      </c>
      <c r="T3" s="16">
        <v>71053</v>
      </c>
      <c r="U3" s="16">
        <v>49377</v>
      </c>
      <c r="V3" s="16">
        <v>3564655</v>
      </c>
      <c r="W3">
        <v>37</v>
      </c>
      <c r="X3" s="16">
        <v>9939</v>
      </c>
      <c r="Y3" t="s">
        <v>350</v>
      </c>
      <c r="Z3" s="16">
        <v>141305</v>
      </c>
      <c r="AA3">
        <v>144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42164</v>
      </c>
      <c r="AR3" s="16">
        <v>71053</v>
      </c>
      <c r="AS3">
        <v>0</v>
      </c>
      <c r="AT3" s="16">
        <v>43842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FEFC-E2CD-4149-BA57-7E1B91FBAE26}">
  <dimension ref="A1:AT3"/>
  <sheetViews>
    <sheetView topLeftCell="R1" workbookViewId="0">
      <selection activeCell="Y2" sqref="Y2:Y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45937.554363425923</v>
      </c>
      <c r="C2" t="s">
        <v>73</v>
      </c>
      <c r="D2" t="s">
        <v>136</v>
      </c>
      <c r="E2" t="s">
        <v>75</v>
      </c>
      <c r="F2" t="s">
        <v>76</v>
      </c>
      <c r="G2" t="s">
        <v>77</v>
      </c>
      <c r="H2" t="s">
        <v>137</v>
      </c>
      <c r="I2" s="16">
        <v>99293</v>
      </c>
      <c r="J2">
        <v>19</v>
      </c>
      <c r="K2" s="16">
        <v>4143</v>
      </c>
      <c r="L2" t="s">
        <v>138</v>
      </c>
      <c r="M2" s="16">
        <v>14101</v>
      </c>
      <c r="N2" s="16">
        <v>19688</v>
      </c>
      <c r="O2" s="16">
        <v>2488</v>
      </c>
      <c r="P2" s="16">
        <v>8591</v>
      </c>
      <c r="Q2" s="16">
        <v>4552</v>
      </c>
      <c r="R2" s="16">
        <v>1102</v>
      </c>
      <c r="S2">
        <v>16</v>
      </c>
      <c r="T2" t="s">
        <v>139</v>
      </c>
      <c r="U2" s="16">
        <v>17691</v>
      </c>
      <c r="V2" s="16">
        <v>1285093</v>
      </c>
      <c r="W2">
        <v>5</v>
      </c>
      <c r="X2" s="16">
        <v>1068</v>
      </c>
      <c r="Y2" s="16">
        <v>58697</v>
      </c>
      <c r="Z2" s="16">
        <v>53176</v>
      </c>
      <c r="AA2">
        <v>59</v>
      </c>
      <c r="AC2" t="s">
        <v>124</v>
      </c>
      <c r="AD2" t="s">
        <v>140</v>
      </c>
      <c r="AE2">
        <v>85</v>
      </c>
      <c r="AF2">
        <v>0</v>
      </c>
      <c r="AG2">
        <v>0</v>
      </c>
      <c r="AH2">
        <v>0</v>
      </c>
      <c r="AI2" s="16">
        <v>8797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58665</v>
      </c>
      <c r="AR2" t="s">
        <v>139</v>
      </c>
      <c r="AS2" s="16">
        <v>11267</v>
      </c>
      <c r="AT2" s="16">
        <v>52715</v>
      </c>
    </row>
    <row r="3" spans="1:46">
      <c r="A3">
        <v>2</v>
      </c>
      <c r="B3" s="15">
        <v>45937.563414351855</v>
      </c>
      <c r="C3" t="s">
        <v>195</v>
      </c>
      <c r="D3" t="s">
        <v>344</v>
      </c>
      <c r="E3" t="s">
        <v>197</v>
      </c>
      <c r="F3" s="16">
        <v>270604</v>
      </c>
      <c r="G3" t="s">
        <v>198</v>
      </c>
      <c r="H3" t="s">
        <v>345</v>
      </c>
      <c r="I3" s="16">
        <v>121374</v>
      </c>
      <c r="J3">
        <v>22</v>
      </c>
      <c r="K3" s="16">
        <v>5632</v>
      </c>
      <c r="L3" s="16">
        <v>2875</v>
      </c>
      <c r="M3" s="16">
        <v>15031</v>
      </c>
      <c r="N3" s="16">
        <v>22969</v>
      </c>
      <c r="O3" s="16">
        <v>6833</v>
      </c>
      <c r="P3" s="16">
        <v>4671</v>
      </c>
      <c r="R3" t="s">
        <v>346</v>
      </c>
      <c r="S3">
        <v>18</v>
      </c>
      <c r="T3">
        <v>50</v>
      </c>
      <c r="U3" s="16">
        <v>24949</v>
      </c>
      <c r="V3" s="16">
        <v>826475</v>
      </c>
      <c r="W3">
        <v>14</v>
      </c>
      <c r="X3" s="16">
        <v>3484</v>
      </c>
      <c r="Y3" s="16">
        <v>85493</v>
      </c>
      <c r="Z3" s="16">
        <v>107766</v>
      </c>
      <c r="AA3">
        <v>83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45271</v>
      </c>
      <c r="AR3">
        <v>50</v>
      </c>
      <c r="AS3">
        <v>0</v>
      </c>
      <c r="AT3" s="16">
        <v>37872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5A4B-C94E-47A4-9E85-5853254D0354}">
  <dimension ref="A1:AT3"/>
  <sheetViews>
    <sheetView topLeftCell="T1" workbookViewId="0">
      <selection activeCell="Y2" sqref="Y2:Y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45937.607569444444</v>
      </c>
      <c r="C2" t="s">
        <v>73</v>
      </c>
      <c r="D2" t="s">
        <v>141</v>
      </c>
      <c r="E2" t="s">
        <v>75</v>
      </c>
      <c r="F2" t="s">
        <v>76</v>
      </c>
      <c r="G2" t="s">
        <v>77</v>
      </c>
      <c r="H2" t="s">
        <v>142</v>
      </c>
      <c r="I2" t="s">
        <v>143</v>
      </c>
      <c r="J2">
        <v>39</v>
      </c>
      <c r="K2" s="16">
        <v>3795</v>
      </c>
      <c r="L2" s="16">
        <v>2681</v>
      </c>
      <c r="M2" s="16">
        <v>12902</v>
      </c>
      <c r="N2" s="16">
        <v>14535</v>
      </c>
      <c r="O2" s="16">
        <v>3297</v>
      </c>
      <c r="P2" s="16">
        <v>4445</v>
      </c>
      <c r="R2" t="s">
        <v>144</v>
      </c>
      <c r="S2">
        <v>30</v>
      </c>
      <c r="T2">
        <v>50</v>
      </c>
      <c r="U2" t="s">
        <v>145</v>
      </c>
      <c r="V2" s="16">
        <v>2001707</v>
      </c>
      <c r="W2">
        <v>27</v>
      </c>
      <c r="X2" s="16">
        <v>5486</v>
      </c>
      <c r="Y2" s="16">
        <v>233795</v>
      </c>
      <c r="Z2" s="16">
        <v>292873</v>
      </c>
      <c r="AA2">
        <v>299</v>
      </c>
      <c r="AB2">
        <v>85</v>
      </c>
      <c r="AC2" t="s">
        <v>146</v>
      </c>
      <c r="AD2" t="s">
        <v>147</v>
      </c>
      <c r="AE2">
        <v>85</v>
      </c>
      <c r="AF2" s="16">
        <v>6419</v>
      </c>
      <c r="AG2">
        <v>0</v>
      </c>
      <c r="AH2">
        <v>0</v>
      </c>
      <c r="AI2" s="16">
        <v>18501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48658</v>
      </c>
      <c r="AR2">
        <v>50</v>
      </c>
      <c r="AS2">
        <v>0</v>
      </c>
      <c r="AT2" s="16">
        <v>39396</v>
      </c>
    </row>
    <row r="3" spans="1:46">
      <c r="A3">
        <v>2</v>
      </c>
      <c r="B3" s="15">
        <v>45937.623993055553</v>
      </c>
      <c r="C3" t="s">
        <v>195</v>
      </c>
      <c r="D3" t="s">
        <v>340</v>
      </c>
      <c r="E3" t="s">
        <v>197</v>
      </c>
      <c r="F3" s="16">
        <v>270604</v>
      </c>
      <c r="G3" t="s">
        <v>198</v>
      </c>
      <c r="H3" t="s">
        <v>341</v>
      </c>
      <c r="I3" t="s">
        <v>342</v>
      </c>
      <c r="J3">
        <v>48</v>
      </c>
      <c r="K3" s="16">
        <v>3613</v>
      </c>
      <c r="L3" s="16">
        <v>2361</v>
      </c>
      <c r="M3" s="16">
        <v>9623</v>
      </c>
      <c r="N3" s="16">
        <v>17009</v>
      </c>
      <c r="O3" s="16">
        <v>3144</v>
      </c>
      <c r="P3" s="16">
        <v>3896</v>
      </c>
      <c r="Q3" s="16">
        <v>8938</v>
      </c>
      <c r="R3" t="s">
        <v>343</v>
      </c>
      <c r="S3">
        <v>30</v>
      </c>
      <c r="T3" s="16">
        <v>53333</v>
      </c>
      <c r="U3" s="16">
        <v>47819</v>
      </c>
      <c r="V3" s="16">
        <v>1464022</v>
      </c>
      <c r="W3">
        <v>22</v>
      </c>
      <c r="X3" s="16">
        <v>4494</v>
      </c>
      <c r="Y3" s="16">
        <v>204403</v>
      </c>
      <c r="Z3" s="16">
        <v>212811</v>
      </c>
      <c r="AA3">
        <v>253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37974</v>
      </c>
      <c r="AR3" s="16">
        <v>53333</v>
      </c>
      <c r="AS3">
        <v>0</v>
      </c>
      <c r="AT3" s="16">
        <v>35755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9A48-68DC-4EF9-AEE5-0835BBA02F4C}">
  <dimension ref="A1:AT3"/>
  <sheetViews>
    <sheetView workbookViewId="0">
      <selection activeCell="A4" sqref="A4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45937.64806712963</v>
      </c>
      <c r="C2" t="s">
        <v>73</v>
      </c>
      <c r="D2" t="s">
        <v>148</v>
      </c>
      <c r="E2" t="s">
        <v>75</v>
      </c>
      <c r="F2" t="s">
        <v>76</v>
      </c>
      <c r="G2" t="s">
        <v>77</v>
      </c>
      <c r="H2" t="s">
        <v>149</v>
      </c>
      <c r="I2" s="16">
        <v>106888</v>
      </c>
      <c r="J2">
        <v>31</v>
      </c>
      <c r="K2" s="16">
        <v>3771</v>
      </c>
      <c r="L2" s="16">
        <v>1871</v>
      </c>
      <c r="M2" s="16">
        <v>14376</v>
      </c>
      <c r="N2" s="16">
        <v>14851</v>
      </c>
      <c r="O2" s="16">
        <v>2727</v>
      </c>
      <c r="P2" s="16">
        <v>5234</v>
      </c>
      <c r="R2" t="s">
        <v>150</v>
      </c>
      <c r="S2">
        <v>24</v>
      </c>
      <c r="T2" s="16">
        <v>70833</v>
      </c>
      <c r="U2" s="16">
        <v>23311</v>
      </c>
      <c r="V2" t="s">
        <v>151</v>
      </c>
      <c r="W2">
        <v>9</v>
      </c>
      <c r="X2" s="16">
        <v>1575</v>
      </c>
      <c r="Y2" s="16">
        <v>98914</v>
      </c>
      <c r="Z2" s="16">
        <v>128546</v>
      </c>
      <c r="AA2">
        <v>109</v>
      </c>
      <c r="AB2">
        <v>85</v>
      </c>
      <c r="AC2" t="s">
        <v>152</v>
      </c>
      <c r="AD2" t="s">
        <v>153</v>
      </c>
      <c r="AE2">
        <v>85</v>
      </c>
      <c r="AF2" s="16">
        <v>15319</v>
      </c>
      <c r="AG2">
        <v>0</v>
      </c>
      <c r="AH2">
        <v>0</v>
      </c>
      <c r="AI2" s="16">
        <v>12844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55502</v>
      </c>
      <c r="AR2" s="16">
        <v>70833</v>
      </c>
      <c r="AS2">
        <v>0</v>
      </c>
      <c r="AT2" s="16">
        <v>49768</v>
      </c>
    </row>
    <row r="3" spans="1:46">
      <c r="A3">
        <v>2</v>
      </c>
      <c r="B3" s="15">
        <v>45937.659791666665</v>
      </c>
      <c r="C3" t="s">
        <v>195</v>
      </c>
      <c r="D3" t="s">
        <v>338</v>
      </c>
      <c r="E3" t="s">
        <v>197</v>
      </c>
      <c r="F3" s="16">
        <v>270604</v>
      </c>
      <c r="G3" t="s">
        <v>198</v>
      </c>
      <c r="H3" t="s">
        <v>339</v>
      </c>
      <c r="I3" s="16">
        <v>111458</v>
      </c>
      <c r="J3">
        <v>26</v>
      </c>
      <c r="K3" s="16">
        <v>4389</v>
      </c>
      <c r="L3" s="16">
        <v>1678</v>
      </c>
      <c r="M3" s="16">
        <v>17015</v>
      </c>
      <c r="N3" s="16">
        <v>21024</v>
      </c>
      <c r="O3" s="16">
        <v>6416</v>
      </c>
      <c r="P3" s="16">
        <v>1956</v>
      </c>
      <c r="R3" s="16">
        <v>1065</v>
      </c>
      <c r="S3">
        <v>22</v>
      </c>
      <c r="T3" s="16">
        <v>68182</v>
      </c>
      <c r="U3" s="16">
        <v>27526</v>
      </c>
      <c r="V3" s="16">
        <v>828283</v>
      </c>
      <c r="W3">
        <v>11</v>
      </c>
      <c r="X3" s="16">
        <v>2241</v>
      </c>
      <c r="Y3" s="16">
        <v>77788</v>
      </c>
      <c r="Z3" s="16">
        <v>95821</v>
      </c>
      <c r="AA3">
        <v>70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49651</v>
      </c>
      <c r="AR3" s="16">
        <v>68182</v>
      </c>
      <c r="AS3">
        <v>0</v>
      </c>
      <c r="AT3" s="16">
        <v>46207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B810-3725-4FAF-9F5D-A1EFF4C7E0E2}">
  <dimension ref="A1:AT3"/>
  <sheetViews>
    <sheetView topLeftCell="Q1" workbookViewId="0">
      <selection activeCell="U3" sqref="U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45937.682118055556</v>
      </c>
      <c r="C2" t="s">
        <v>73</v>
      </c>
      <c r="D2" t="s">
        <v>154</v>
      </c>
      <c r="E2" t="s">
        <v>75</v>
      </c>
      <c r="F2" t="s">
        <v>76</v>
      </c>
      <c r="G2" t="s">
        <v>77</v>
      </c>
      <c r="H2" t="s">
        <v>155</v>
      </c>
      <c r="I2" s="16">
        <v>100041</v>
      </c>
      <c r="J2">
        <v>23</v>
      </c>
      <c r="K2" s="16">
        <v>4547</v>
      </c>
      <c r="L2" s="16">
        <v>2923</v>
      </c>
      <c r="M2" s="16">
        <v>12461</v>
      </c>
      <c r="N2" s="16">
        <v>16806</v>
      </c>
      <c r="O2" s="16">
        <v>4818</v>
      </c>
      <c r="P2" s="16">
        <v>3965</v>
      </c>
      <c r="R2" t="s">
        <v>156</v>
      </c>
      <c r="S2">
        <v>22</v>
      </c>
      <c r="T2">
        <v>50</v>
      </c>
      <c r="U2" s="16">
        <v>18757</v>
      </c>
      <c r="V2" s="16">
        <v>1934414</v>
      </c>
      <c r="W2">
        <v>5</v>
      </c>
      <c r="X2" t="s">
        <v>157</v>
      </c>
      <c r="Y2" s="16">
        <v>64443</v>
      </c>
      <c r="Z2" s="16">
        <v>79767</v>
      </c>
      <c r="AA2">
        <v>64</v>
      </c>
      <c r="AB2">
        <v>85</v>
      </c>
      <c r="AC2" t="s">
        <v>158</v>
      </c>
      <c r="AD2">
        <v>85</v>
      </c>
      <c r="AE2">
        <v>85</v>
      </c>
      <c r="AF2" s="16">
        <v>16095</v>
      </c>
      <c r="AG2">
        <v>0</v>
      </c>
      <c r="AH2" t="s">
        <v>105</v>
      </c>
      <c r="AI2" s="16">
        <v>12031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58353</v>
      </c>
      <c r="AR2">
        <v>50</v>
      </c>
      <c r="AS2" s="16">
        <v>11267</v>
      </c>
      <c r="AT2" s="16">
        <v>46012</v>
      </c>
    </row>
    <row r="3" spans="1:46">
      <c r="A3">
        <v>2</v>
      </c>
      <c r="B3" s="15">
        <v>45937.694155092591</v>
      </c>
      <c r="C3" t="s">
        <v>195</v>
      </c>
      <c r="D3" t="s">
        <v>333</v>
      </c>
      <c r="E3" t="s">
        <v>197</v>
      </c>
      <c r="F3" s="16">
        <v>270604</v>
      </c>
      <c r="G3" t="s">
        <v>198</v>
      </c>
      <c r="H3" t="s">
        <v>334</v>
      </c>
      <c r="I3" s="16">
        <v>118499</v>
      </c>
      <c r="J3">
        <v>33</v>
      </c>
      <c r="K3" t="s">
        <v>335</v>
      </c>
      <c r="L3" s="16">
        <v>2354</v>
      </c>
      <c r="M3" s="16">
        <v>13375</v>
      </c>
      <c r="N3" s="16">
        <v>15888</v>
      </c>
      <c r="O3" s="16">
        <v>4695</v>
      </c>
      <c r="P3" s="16">
        <v>2579</v>
      </c>
      <c r="R3" t="s">
        <v>336</v>
      </c>
      <c r="S3">
        <v>25</v>
      </c>
      <c r="T3">
        <v>64</v>
      </c>
      <c r="U3" s="16">
        <v>31131</v>
      </c>
      <c r="V3" s="16">
        <v>1044648</v>
      </c>
      <c r="W3">
        <v>19</v>
      </c>
      <c r="X3" s="16">
        <v>4049</v>
      </c>
      <c r="Y3" s="16">
        <v>101864</v>
      </c>
      <c r="Z3" t="s">
        <v>337</v>
      </c>
      <c r="AA3">
        <v>110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46352</v>
      </c>
      <c r="AR3">
        <v>64</v>
      </c>
      <c r="AS3">
        <v>0</v>
      </c>
      <c r="AT3" s="16">
        <v>43259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B9DA-1342-4671-8C57-98033A39B78C}">
  <dimension ref="A1:AT3"/>
  <sheetViews>
    <sheetView workbookViewId="0">
      <selection activeCell="A3" sqref="A3:XFC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45937.725115740737</v>
      </c>
      <c r="C2" t="s">
        <v>73</v>
      </c>
      <c r="D2" t="s">
        <v>159</v>
      </c>
      <c r="E2" t="s">
        <v>75</v>
      </c>
      <c r="F2" t="s">
        <v>76</v>
      </c>
      <c r="G2" t="s">
        <v>77</v>
      </c>
      <c r="H2" t="s">
        <v>160</v>
      </c>
      <c r="I2" s="16">
        <v>119998</v>
      </c>
      <c r="J2">
        <v>35</v>
      </c>
      <c r="K2" s="16">
        <v>4051</v>
      </c>
      <c r="L2" s="16">
        <v>3282</v>
      </c>
      <c r="M2" s="16">
        <v>11526</v>
      </c>
      <c r="N2" s="16">
        <v>20354</v>
      </c>
      <c r="O2" t="s">
        <v>161</v>
      </c>
      <c r="P2" s="16">
        <v>5784</v>
      </c>
      <c r="R2" t="s">
        <v>162</v>
      </c>
      <c r="S2">
        <v>27</v>
      </c>
      <c r="T2" s="16">
        <v>48148</v>
      </c>
      <c r="U2" s="16">
        <v>40507</v>
      </c>
      <c r="V2" s="16">
        <v>2016656</v>
      </c>
      <c r="W2">
        <v>23</v>
      </c>
      <c r="X2" s="16">
        <v>5152</v>
      </c>
      <c r="Y2" s="16">
        <v>186332</v>
      </c>
      <c r="Z2" s="16">
        <v>176503</v>
      </c>
      <c r="AA2">
        <v>232</v>
      </c>
      <c r="AB2">
        <v>85</v>
      </c>
      <c r="AC2" t="s">
        <v>163</v>
      </c>
      <c r="AD2" t="s">
        <v>158</v>
      </c>
      <c r="AE2">
        <v>85</v>
      </c>
      <c r="AF2" s="16">
        <v>20129</v>
      </c>
      <c r="AG2">
        <v>0</v>
      </c>
      <c r="AH2">
        <v>0</v>
      </c>
      <c r="AI2" s="16">
        <v>16905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50046</v>
      </c>
      <c r="AR2" s="16">
        <v>48148</v>
      </c>
      <c r="AS2">
        <v>0</v>
      </c>
      <c r="AT2" s="16">
        <v>39373</v>
      </c>
    </row>
    <row r="3" spans="1:46">
      <c r="A3">
        <v>2</v>
      </c>
      <c r="B3" s="15">
        <v>45937.73574074074</v>
      </c>
      <c r="C3" t="s">
        <v>195</v>
      </c>
      <c r="D3" t="s">
        <v>328</v>
      </c>
      <c r="E3" t="s">
        <v>197</v>
      </c>
      <c r="F3" s="16">
        <v>270604</v>
      </c>
      <c r="G3" t="s">
        <v>198</v>
      </c>
      <c r="H3" t="s">
        <v>329</v>
      </c>
      <c r="I3" s="16">
        <v>139541</v>
      </c>
      <c r="J3">
        <v>32</v>
      </c>
      <c r="K3" t="s">
        <v>330</v>
      </c>
      <c r="L3" s="16">
        <v>3112</v>
      </c>
      <c r="M3" s="16">
        <v>11583</v>
      </c>
      <c r="N3" s="16">
        <v>14829</v>
      </c>
      <c r="O3" s="16">
        <v>4102</v>
      </c>
      <c r="P3" s="16">
        <v>4738</v>
      </c>
      <c r="R3" t="s">
        <v>331</v>
      </c>
      <c r="S3">
        <v>32</v>
      </c>
      <c r="T3" s="16">
        <v>46875</v>
      </c>
      <c r="U3" t="s">
        <v>332</v>
      </c>
      <c r="V3" s="16">
        <v>855688</v>
      </c>
      <c r="W3">
        <v>24</v>
      </c>
      <c r="X3" s="16">
        <v>6674</v>
      </c>
      <c r="Y3" s="16">
        <v>106579</v>
      </c>
      <c r="Z3" s="16">
        <v>112226</v>
      </c>
      <c r="AA3">
        <v>111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37089</v>
      </c>
      <c r="AR3" s="16">
        <v>46875</v>
      </c>
      <c r="AS3">
        <v>0</v>
      </c>
      <c r="AT3" s="16">
        <v>33096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4886-1ADC-48C5-BF9C-406A57B2E53F}">
  <dimension ref="A1:AT3"/>
  <sheetViews>
    <sheetView workbookViewId="0">
      <selection activeCell="E2" sqref="E2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45937.749791666669</v>
      </c>
      <c r="C2" t="s">
        <v>73</v>
      </c>
      <c r="D2" t="s">
        <v>164</v>
      </c>
      <c r="E2" t="s">
        <v>75</v>
      </c>
      <c r="F2" t="s">
        <v>76</v>
      </c>
      <c r="G2" t="s">
        <v>77</v>
      </c>
      <c r="H2" t="s">
        <v>165</v>
      </c>
      <c r="I2" s="16">
        <v>125435</v>
      </c>
      <c r="J2">
        <v>32</v>
      </c>
      <c r="K2" s="16">
        <v>4226</v>
      </c>
      <c r="L2" s="16">
        <v>2986</v>
      </c>
      <c r="M2" t="s">
        <v>166</v>
      </c>
      <c r="N2" s="16">
        <v>17017</v>
      </c>
      <c r="O2" t="s">
        <v>167</v>
      </c>
      <c r="P2" s="16">
        <v>4319</v>
      </c>
      <c r="Q2" s="16">
        <v>3167</v>
      </c>
      <c r="R2" t="s">
        <v>168</v>
      </c>
      <c r="S2">
        <v>28</v>
      </c>
      <c r="T2">
        <v>50</v>
      </c>
      <c r="U2" s="16">
        <v>29491</v>
      </c>
      <c r="V2" t="s">
        <v>169</v>
      </c>
      <c r="W2">
        <v>21</v>
      </c>
      <c r="X2" t="s">
        <v>170</v>
      </c>
      <c r="Y2" s="16">
        <v>79679</v>
      </c>
      <c r="Z2" s="16">
        <v>82273</v>
      </c>
      <c r="AA2">
        <v>81</v>
      </c>
      <c r="AB2">
        <v>85</v>
      </c>
      <c r="AC2" t="s">
        <v>146</v>
      </c>
      <c r="AD2" t="s">
        <v>171</v>
      </c>
      <c r="AE2">
        <v>85</v>
      </c>
      <c r="AF2" s="16">
        <v>14425</v>
      </c>
      <c r="AG2">
        <v>0</v>
      </c>
      <c r="AH2">
        <v>0</v>
      </c>
      <c r="AI2" s="16">
        <v>11196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47782</v>
      </c>
      <c r="AR2">
        <v>50</v>
      </c>
      <c r="AS2">
        <v>0</v>
      </c>
      <c r="AT2" s="16">
        <v>39002</v>
      </c>
    </row>
    <row r="3" spans="1:46">
      <c r="A3">
        <v>2</v>
      </c>
      <c r="B3" s="15">
        <v>45937.760833333334</v>
      </c>
      <c r="C3" t="s">
        <v>195</v>
      </c>
      <c r="D3" t="s">
        <v>324</v>
      </c>
      <c r="E3" t="s">
        <v>197</v>
      </c>
      <c r="F3" s="16">
        <v>270604</v>
      </c>
      <c r="G3" t="s">
        <v>198</v>
      </c>
      <c r="H3" t="s">
        <v>325</v>
      </c>
      <c r="I3" s="16">
        <v>119412</v>
      </c>
      <c r="J3">
        <v>18</v>
      </c>
      <c r="K3" s="16">
        <v>6898</v>
      </c>
      <c r="L3" s="16">
        <v>4913</v>
      </c>
      <c r="M3" s="16">
        <v>17838</v>
      </c>
      <c r="N3" s="16">
        <v>36141</v>
      </c>
      <c r="O3" s="16">
        <v>5491</v>
      </c>
      <c r="P3" s="16">
        <v>7743</v>
      </c>
      <c r="R3" t="s">
        <v>326</v>
      </c>
      <c r="S3">
        <v>16</v>
      </c>
      <c r="T3" t="s">
        <v>91</v>
      </c>
      <c r="U3" s="16">
        <v>24731</v>
      </c>
      <c r="V3" s="16">
        <v>1576691</v>
      </c>
      <c r="W3">
        <v>2</v>
      </c>
      <c r="X3" t="s">
        <v>327</v>
      </c>
      <c r="Y3" s="16">
        <v>129133</v>
      </c>
      <c r="Z3" s="16">
        <v>139684</v>
      </c>
      <c r="AA3">
        <v>142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46008</v>
      </c>
      <c r="AR3" t="s">
        <v>91</v>
      </c>
      <c r="AS3" s="16">
        <v>21861</v>
      </c>
      <c r="AT3" s="16">
        <v>38201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3EAC-EA8F-49B5-994F-E61510629057}">
  <dimension ref="A1:AT3"/>
  <sheetViews>
    <sheetView workbookViewId="0">
      <selection activeCell="F2" sqref="F2:F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45939.446631944447</v>
      </c>
      <c r="C2" t="s">
        <v>73</v>
      </c>
      <c r="D2" t="s">
        <v>172</v>
      </c>
      <c r="E2" t="s">
        <v>197</v>
      </c>
      <c r="F2" s="16">
        <v>270604</v>
      </c>
      <c r="G2" t="s">
        <v>77</v>
      </c>
      <c r="H2" t="s">
        <v>173</v>
      </c>
      <c r="I2" s="16">
        <v>129023</v>
      </c>
      <c r="J2">
        <v>20</v>
      </c>
      <c r="K2" s="16">
        <v>6548</v>
      </c>
      <c r="L2" s="16">
        <v>6397</v>
      </c>
      <c r="M2" s="16">
        <v>13244</v>
      </c>
      <c r="N2" t="s">
        <v>174</v>
      </c>
      <c r="O2" s="16">
        <v>6696</v>
      </c>
      <c r="P2" s="16">
        <v>6086</v>
      </c>
      <c r="Q2" s="16">
        <v>8298</v>
      </c>
      <c r="R2" t="s">
        <v>175</v>
      </c>
      <c r="S2">
        <v>18</v>
      </c>
      <c r="T2" s="16">
        <v>27778</v>
      </c>
      <c r="U2" t="s">
        <v>176</v>
      </c>
      <c r="V2" s="16">
        <v>257242</v>
      </c>
      <c r="W2">
        <v>5</v>
      </c>
      <c r="X2" s="16">
        <v>1727</v>
      </c>
      <c r="Y2" s="16">
        <v>19983</v>
      </c>
      <c r="Z2" s="16">
        <v>24647</v>
      </c>
      <c r="AA2">
        <v>10</v>
      </c>
      <c r="AB2">
        <v>85</v>
      </c>
      <c r="AC2" t="s">
        <v>177</v>
      </c>
      <c r="AD2" t="s">
        <v>178</v>
      </c>
      <c r="AE2">
        <v>85</v>
      </c>
      <c r="AF2" s="16">
        <v>12005</v>
      </c>
      <c r="AG2">
        <v>0</v>
      </c>
      <c r="AH2">
        <v>0</v>
      </c>
      <c r="AI2" s="16">
        <v>12875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46287</v>
      </c>
      <c r="AR2" s="16">
        <v>27778</v>
      </c>
      <c r="AS2" s="16">
        <v>18404</v>
      </c>
      <c r="AT2" s="16">
        <v>34232</v>
      </c>
    </row>
    <row r="3" spans="1:46">
      <c r="A3">
        <v>1</v>
      </c>
      <c r="B3" s="15">
        <v>45939.467604166668</v>
      </c>
      <c r="C3" t="s">
        <v>195</v>
      </c>
      <c r="D3" t="s">
        <v>317</v>
      </c>
      <c r="E3" t="s">
        <v>75</v>
      </c>
      <c r="F3" t="s">
        <v>76</v>
      </c>
      <c r="G3" t="s">
        <v>198</v>
      </c>
      <c r="H3" t="s">
        <v>318</v>
      </c>
      <c r="I3" s="16">
        <v>108064</v>
      </c>
      <c r="J3">
        <v>30</v>
      </c>
      <c r="K3" s="16">
        <v>3744</v>
      </c>
      <c r="L3" s="16">
        <v>2771</v>
      </c>
      <c r="M3" s="16">
        <v>10353</v>
      </c>
      <c r="N3" s="16">
        <v>11096</v>
      </c>
      <c r="O3" s="16">
        <v>3643</v>
      </c>
      <c r="P3" t="s">
        <v>319</v>
      </c>
      <c r="Q3" s="16">
        <v>3537</v>
      </c>
      <c r="R3" t="s">
        <v>320</v>
      </c>
      <c r="S3">
        <v>27</v>
      </c>
      <c r="T3" s="16">
        <v>55556</v>
      </c>
      <c r="U3" s="16">
        <v>31659</v>
      </c>
      <c r="V3" t="s">
        <v>321</v>
      </c>
      <c r="W3">
        <v>26</v>
      </c>
      <c r="X3" s="16">
        <v>7856</v>
      </c>
      <c r="Y3" s="16">
        <v>60662</v>
      </c>
      <c r="Z3" t="s">
        <v>322</v>
      </c>
      <c r="AA3">
        <v>51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51656</v>
      </c>
      <c r="AR3" s="16">
        <v>55556</v>
      </c>
      <c r="AS3">
        <v>0</v>
      </c>
      <c r="AT3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26F6-CBFF-420F-BF06-EF25F27BFA9D}">
  <dimension ref="A1:AT3"/>
  <sheetViews>
    <sheetView workbookViewId="0">
      <selection activeCell="F2" sqref="F2:F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45939.462997685187</v>
      </c>
      <c r="C2" t="s">
        <v>73</v>
      </c>
      <c r="D2" t="s">
        <v>179</v>
      </c>
      <c r="E2" t="s">
        <v>197</v>
      </c>
      <c r="F2" s="16">
        <v>270604</v>
      </c>
      <c r="G2" t="s">
        <v>77</v>
      </c>
      <c r="H2" t="s">
        <v>180</v>
      </c>
      <c r="I2" s="16">
        <v>82868</v>
      </c>
      <c r="J2">
        <v>23</v>
      </c>
      <c r="K2" s="16">
        <v>3603</v>
      </c>
      <c r="L2" s="16">
        <v>2994</v>
      </c>
      <c r="M2" s="16">
        <v>8105</v>
      </c>
      <c r="N2" s="16">
        <v>9963</v>
      </c>
      <c r="O2" s="16">
        <v>3446</v>
      </c>
      <c r="P2" s="16">
        <v>3055</v>
      </c>
      <c r="Q2" s="16">
        <v>7594</v>
      </c>
      <c r="R2" t="s">
        <v>181</v>
      </c>
      <c r="S2">
        <v>23</v>
      </c>
      <c r="T2" s="16">
        <v>52174</v>
      </c>
      <c r="U2" s="16">
        <v>22799</v>
      </c>
      <c r="V2" s="16">
        <v>2762798</v>
      </c>
      <c r="W2">
        <v>6</v>
      </c>
      <c r="X2" s="16">
        <v>1586</v>
      </c>
      <c r="Y2" s="16">
        <v>51206</v>
      </c>
      <c r="Z2" s="16">
        <v>76024</v>
      </c>
      <c r="AA2">
        <v>50</v>
      </c>
      <c r="AB2">
        <v>85</v>
      </c>
      <c r="AC2">
        <v>85</v>
      </c>
      <c r="AD2">
        <v>85</v>
      </c>
      <c r="AE2">
        <v>85</v>
      </c>
      <c r="AF2" s="16">
        <v>12004</v>
      </c>
      <c r="AG2" t="s">
        <v>96</v>
      </c>
      <c r="AH2" s="16">
        <v>1589</v>
      </c>
      <c r="AI2" s="16">
        <v>13602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65501</v>
      </c>
      <c r="AR2" s="16">
        <v>52174</v>
      </c>
      <c r="AS2" s="16">
        <v>7519</v>
      </c>
      <c r="AT2" t="s">
        <v>182</v>
      </c>
    </row>
    <row r="3" spans="1:46">
      <c r="A3">
        <v>1</v>
      </c>
      <c r="B3" s="15">
        <v>45939.472569444442</v>
      </c>
      <c r="C3" t="s">
        <v>195</v>
      </c>
      <c r="D3" t="s">
        <v>313</v>
      </c>
      <c r="E3" t="s">
        <v>75</v>
      </c>
      <c r="F3" t="s">
        <v>76</v>
      </c>
      <c r="G3" t="s">
        <v>198</v>
      </c>
      <c r="H3" t="s">
        <v>314</v>
      </c>
      <c r="I3" s="16">
        <v>116541</v>
      </c>
      <c r="J3">
        <v>46</v>
      </c>
      <c r="K3" s="16">
        <v>2677</v>
      </c>
      <c r="L3" s="16">
        <v>1532</v>
      </c>
      <c r="M3" s="16">
        <v>7146</v>
      </c>
      <c r="N3" s="16">
        <v>16862</v>
      </c>
      <c r="O3" s="16">
        <v>3667</v>
      </c>
      <c r="P3" s="16">
        <v>1843</v>
      </c>
      <c r="R3" t="s">
        <v>315</v>
      </c>
      <c r="S3">
        <v>35</v>
      </c>
      <c r="T3" s="16">
        <v>74286</v>
      </c>
      <c r="U3" s="16">
        <v>41956</v>
      </c>
      <c r="V3" s="16">
        <v>1135646</v>
      </c>
      <c r="W3">
        <v>15</v>
      </c>
      <c r="X3" t="s">
        <v>316</v>
      </c>
      <c r="Y3" s="16">
        <v>114835</v>
      </c>
      <c r="Z3" s="16">
        <v>129225</v>
      </c>
      <c r="AA3">
        <v>125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48007</v>
      </c>
      <c r="AR3" s="16">
        <v>74286</v>
      </c>
      <c r="AS3">
        <v>0</v>
      </c>
      <c r="AT3" s="16">
        <v>47603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068A-D6D5-4006-B20D-53B3041AD738}">
  <dimension ref="A1:AT3"/>
  <sheetViews>
    <sheetView workbookViewId="0">
      <selection activeCell="F2" sqref="F2:F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2</v>
      </c>
      <c r="B2" s="15">
        <v>45939.523518518516</v>
      </c>
      <c r="C2" t="s">
        <v>73</v>
      </c>
      <c r="D2" t="s">
        <v>183</v>
      </c>
      <c r="E2" t="s">
        <v>197</v>
      </c>
      <c r="F2" s="16">
        <v>270604</v>
      </c>
      <c r="G2" t="s">
        <v>77</v>
      </c>
      <c r="H2" t="s">
        <v>184</v>
      </c>
      <c r="I2" t="s">
        <v>185</v>
      </c>
      <c r="J2">
        <v>38</v>
      </c>
      <c r="K2" s="16">
        <v>3221</v>
      </c>
      <c r="L2" s="16">
        <v>2109</v>
      </c>
      <c r="M2" s="16">
        <v>8388</v>
      </c>
      <c r="N2" s="16">
        <v>9829</v>
      </c>
      <c r="O2" s="16">
        <v>4041</v>
      </c>
      <c r="P2" s="16">
        <v>2402</v>
      </c>
      <c r="R2" t="s">
        <v>186</v>
      </c>
      <c r="S2">
        <v>32</v>
      </c>
      <c r="T2" s="16">
        <v>59375</v>
      </c>
      <c r="U2" s="16">
        <v>34548</v>
      </c>
      <c r="V2" s="16">
        <v>850442</v>
      </c>
      <c r="W2">
        <v>24</v>
      </c>
      <c r="X2" s="16">
        <v>5554</v>
      </c>
      <c r="Y2" t="s">
        <v>187</v>
      </c>
      <c r="Z2" s="16">
        <v>108656</v>
      </c>
      <c r="AA2">
        <v>121</v>
      </c>
      <c r="AB2">
        <v>85</v>
      </c>
      <c r="AC2">
        <v>85</v>
      </c>
      <c r="AD2">
        <v>85</v>
      </c>
      <c r="AE2">
        <v>85</v>
      </c>
      <c r="AF2" s="16">
        <v>16888</v>
      </c>
      <c r="AG2" t="s">
        <v>134</v>
      </c>
      <c r="AH2" t="s">
        <v>134</v>
      </c>
      <c r="AI2" s="16">
        <v>14468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51954</v>
      </c>
      <c r="AR2" s="16">
        <v>59375</v>
      </c>
      <c r="AS2">
        <v>0</v>
      </c>
      <c r="AT2" s="16">
        <v>44161</v>
      </c>
    </row>
    <row r="3" spans="1:46">
      <c r="A3">
        <v>3</v>
      </c>
      <c r="B3" s="15">
        <v>45939.537048611113</v>
      </c>
      <c r="C3" t="s">
        <v>195</v>
      </c>
      <c r="D3" t="s">
        <v>309</v>
      </c>
      <c r="E3" t="s">
        <v>75</v>
      </c>
      <c r="F3" t="s">
        <v>76</v>
      </c>
      <c r="G3" t="s">
        <v>198</v>
      </c>
      <c r="H3" t="s">
        <v>310</v>
      </c>
      <c r="I3" t="s">
        <v>311</v>
      </c>
      <c r="J3">
        <v>40</v>
      </c>
      <c r="K3" s="16">
        <v>2712</v>
      </c>
      <c r="L3" s="16">
        <v>1893</v>
      </c>
      <c r="M3" s="16">
        <v>6772</v>
      </c>
      <c r="N3" s="16">
        <v>9477</v>
      </c>
      <c r="O3" s="16">
        <v>3598</v>
      </c>
      <c r="P3" s="16">
        <v>1353</v>
      </c>
      <c r="Q3" s="16">
        <v>1783</v>
      </c>
      <c r="R3" t="s">
        <v>312</v>
      </c>
      <c r="S3">
        <v>35</v>
      </c>
      <c r="T3" s="16">
        <v>68571</v>
      </c>
      <c r="U3" s="16">
        <v>43975</v>
      </c>
      <c r="V3" s="16">
        <v>3336027</v>
      </c>
      <c r="W3">
        <v>35</v>
      </c>
      <c r="X3" s="16">
        <v>9021</v>
      </c>
      <c r="Y3" s="16">
        <v>132652</v>
      </c>
      <c r="Z3" s="16">
        <v>161674</v>
      </c>
      <c r="AA3">
        <v>155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49446</v>
      </c>
      <c r="AR3" s="16">
        <v>68571</v>
      </c>
      <c r="AS3">
        <v>0</v>
      </c>
      <c r="AT3" s="16">
        <v>46251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3480-6628-46D4-A05E-44B7E06260F2}">
  <dimension ref="A1:AT3"/>
  <sheetViews>
    <sheetView workbookViewId="0">
      <selection activeCell="F2" sqref="F2:F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45939.565509259257</v>
      </c>
      <c r="C2" t="s">
        <v>73</v>
      </c>
      <c r="D2" t="s">
        <v>86</v>
      </c>
      <c r="E2" t="s">
        <v>197</v>
      </c>
      <c r="F2" s="16">
        <v>270604</v>
      </c>
      <c r="G2" t="s">
        <v>77</v>
      </c>
      <c r="H2" t="s">
        <v>87</v>
      </c>
      <c r="I2" s="16">
        <v>105697</v>
      </c>
      <c r="J2">
        <v>33</v>
      </c>
      <c r="K2" t="s">
        <v>88</v>
      </c>
      <c r="L2" s="16">
        <v>2242</v>
      </c>
      <c r="M2" s="16">
        <v>9093</v>
      </c>
      <c r="N2" s="16">
        <v>12211</v>
      </c>
      <c r="O2" s="16">
        <v>3098</v>
      </c>
      <c r="P2" s="16">
        <v>3255</v>
      </c>
      <c r="Q2" s="16">
        <v>9043</v>
      </c>
      <c r="R2" t="s">
        <v>89</v>
      </c>
      <c r="S2">
        <v>28</v>
      </c>
      <c r="T2" s="16">
        <v>57143</v>
      </c>
      <c r="U2" s="16">
        <v>34668</v>
      </c>
      <c r="V2" s="16">
        <v>1765536</v>
      </c>
      <c r="W2">
        <v>32</v>
      </c>
      <c r="X2" s="16">
        <v>6923</v>
      </c>
      <c r="Y2" s="16">
        <v>108405</v>
      </c>
      <c r="Z2" s="16">
        <v>124318</v>
      </c>
      <c r="AA2">
        <v>122</v>
      </c>
      <c r="AB2">
        <v>85</v>
      </c>
      <c r="AC2" t="s">
        <v>90</v>
      </c>
      <c r="AD2" t="s">
        <v>91</v>
      </c>
      <c r="AE2">
        <v>85</v>
      </c>
      <c r="AF2" s="16">
        <v>16938</v>
      </c>
      <c r="AG2">
        <v>0</v>
      </c>
      <c r="AH2">
        <v>0</v>
      </c>
      <c r="AI2" s="16">
        <v>16091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55998</v>
      </c>
      <c r="AR2" s="16">
        <v>57143</v>
      </c>
      <c r="AS2">
        <v>0</v>
      </c>
      <c r="AT2" s="16">
        <v>45199</v>
      </c>
    </row>
    <row r="3" spans="1:46">
      <c r="A3">
        <v>2</v>
      </c>
      <c r="B3" s="15">
        <v>45939.576805555553</v>
      </c>
      <c r="C3" t="s">
        <v>195</v>
      </c>
      <c r="D3" t="s">
        <v>305</v>
      </c>
      <c r="E3" t="s">
        <v>75</v>
      </c>
      <c r="F3" t="s">
        <v>76</v>
      </c>
      <c r="G3" t="s">
        <v>198</v>
      </c>
      <c r="H3" t="s">
        <v>306</v>
      </c>
      <c r="I3" s="16">
        <v>143881</v>
      </c>
      <c r="J3">
        <v>19</v>
      </c>
      <c r="K3" s="16">
        <v>7408</v>
      </c>
      <c r="L3" t="s">
        <v>307</v>
      </c>
      <c r="M3" s="16">
        <v>17704</v>
      </c>
      <c r="N3" s="16">
        <v>23571</v>
      </c>
      <c r="O3" s="16">
        <v>7003</v>
      </c>
      <c r="P3" s="16">
        <v>7863</v>
      </c>
      <c r="R3" t="s">
        <v>308</v>
      </c>
      <c r="S3">
        <v>17</v>
      </c>
      <c r="T3" s="16">
        <v>17647</v>
      </c>
      <c r="U3" s="16">
        <v>30695</v>
      </c>
      <c r="V3" s="16">
        <v>1338566</v>
      </c>
      <c r="W3">
        <v>22</v>
      </c>
      <c r="X3" s="16">
        <v>5984</v>
      </c>
      <c r="Y3" s="16">
        <v>92429</v>
      </c>
      <c r="Z3" s="16">
        <v>101751</v>
      </c>
      <c r="AA3">
        <v>94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35001</v>
      </c>
      <c r="AR3" s="16">
        <v>17647</v>
      </c>
      <c r="AS3">
        <v>0</v>
      </c>
      <c r="AT3" s="16">
        <v>21927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103B-A473-4BAE-8D23-37FD5A9B43CF}">
  <dimension ref="A1:AT3"/>
  <sheetViews>
    <sheetView workbookViewId="0">
      <selection activeCell="F2" sqref="F2:F3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45939.600034722222</v>
      </c>
      <c r="C2" t="s">
        <v>73</v>
      </c>
      <c r="D2" t="s">
        <v>92</v>
      </c>
      <c r="E2" t="s">
        <v>197</v>
      </c>
      <c r="F2" s="16">
        <v>270604</v>
      </c>
      <c r="G2" t="s">
        <v>77</v>
      </c>
      <c r="H2" t="s">
        <v>93</v>
      </c>
      <c r="I2" s="16">
        <v>104707</v>
      </c>
      <c r="J2">
        <v>25</v>
      </c>
      <c r="K2" s="16">
        <v>3962</v>
      </c>
      <c r="L2" s="16">
        <v>3175</v>
      </c>
      <c r="M2" s="16">
        <v>11225</v>
      </c>
      <c r="N2" s="16">
        <v>13031</v>
      </c>
      <c r="O2" s="16">
        <v>3791</v>
      </c>
      <c r="P2" s="16">
        <v>4155</v>
      </c>
      <c r="Q2" s="16">
        <v>4457</v>
      </c>
      <c r="R2" t="s">
        <v>94</v>
      </c>
      <c r="S2">
        <v>23</v>
      </c>
      <c r="T2" s="16">
        <v>43478</v>
      </c>
      <c r="U2" s="16">
        <v>19906</v>
      </c>
      <c r="V2" s="16">
        <v>486935</v>
      </c>
      <c r="W2">
        <v>15</v>
      </c>
      <c r="X2" s="16">
        <v>4373</v>
      </c>
      <c r="Y2" s="16">
        <v>16985</v>
      </c>
      <c r="Z2" t="s">
        <v>95</v>
      </c>
      <c r="AA2">
        <v>8</v>
      </c>
      <c r="AB2">
        <v>85</v>
      </c>
      <c r="AC2">
        <v>85</v>
      </c>
      <c r="AD2">
        <v>85</v>
      </c>
      <c r="AE2">
        <v>85</v>
      </c>
      <c r="AF2" s="16">
        <v>12844</v>
      </c>
      <c r="AG2" t="s">
        <v>96</v>
      </c>
      <c r="AH2" t="s">
        <v>96</v>
      </c>
      <c r="AI2" t="s">
        <v>97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t="s">
        <v>98</v>
      </c>
      <c r="AR2" s="16">
        <v>43478</v>
      </c>
      <c r="AS2" s="16">
        <v>14813</v>
      </c>
      <c r="AT2" s="16">
        <v>43565</v>
      </c>
    </row>
    <row r="3" spans="1:46">
      <c r="A3">
        <v>2</v>
      </c>
      <c r="B3" s="15">
        <v>45939.609143518515</v>
      </c>
      <c r="C3" t="s">
        <v>195</v>
      </c>
      <c r="D3" t="s">
        <v>301</v>
      </c>
      <c r="E3" t="s">
        <v>75</v>
      </c>
      <c r="F3" t="s">
        <v>76</v>
      </c>
      <c r="G3" t="s">
        <v>198</v>
      </c>
      <c r="H3" t="s">
        <v>302</v>
      </c>
      <c r="I3" t="s">
        <v>303</v>
      </c>
      <c r="J3">
        <v>34</v>
      </c>
      <c r="K3" s="16">
        <v>3586</v>
      </c>
      <c r="L3" s="16">
        <v>2548</v>
      </c>
      <c r="M3" s="16">
        <v>10413</v>
      </c>
      <c r="N3" s="16">
        <v>12308</v>
      </c>
      <c r="O3" s="16">
        <v>4659</v>
      </c>
      <c r="P3" s="16">
        <v>2229</v>
      </c>
      <c r="Q3" s="16">
        <v>3268</v>
      </c>
      <c r="R3" t="s">
        <v>304</v>
      </c>
      <c r="S3">
        <v>33</v>
      </c>
      <c r="T3" s="16">
        <v>54545</v>
      </c>
      <c r="U3" s="16">
        <v>29496</v>
      </c>
      <c r="V3" s="16">
        <v>419094</v>
      </c>
      <c r="W3">
        <v>25</v>
      </c>
      <c r="X3" s="16">
        <v>8463</v>
      </c>
      <c r="Y3" s="16">
        <v>28768</v>
      </c>
      <c r="Z3" s="16">
        <v>34413</v>
      </c>
      <c r="AA3">
        <v>14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46372</v>
      </c>
      <c r="AR3" s="16">
        <v>54545</v>
      </c>
      <c r="AS3">
        <v>0</v>
      </c>
      <c r="AT3" s="16">
        <v>39958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138D-511E-4CCE-A676-DC0FF1702B81}">
  <dimension ref="A1:AT3"/>
  <sheetViews>
    <sheetView topLeftCell="U1" workbookViewId="0">
      <selection activeCell="Y2" sqref="Y2"/>
    </sheetView>
  </sheetViews>
  <sheetFormatPr defaultRowHeight="14.4"/>
  <cols>
    <col min="1" max="1" width="9.33203125" bestFit="1" customWidth="1"/>
    <col min="2" max="2" width="15.33203125" bestFit="1" customWidth="1"/>
    <col min="3" max="3" width="12.109375" bestFit="1" customWidth="1"/>
    <col min="4" max="4" width="6.77734375" bestFit="1" customWidth="1"/>
    <col min="5" max="5" width="10.5546875" bestFit="1" customWidth="1"/>
    <col min="6" max="6" width="14.44140625" bestFit="1" customWidth="1"/>
    <col min="7" max="7" width="10.33203125" bestFit="1" customWidth="1"/>
    <col min="8" max="8" width="16" bestFit="1" customWidth="1"/>
    <col min="9" max="9" width="18.77734375" bestFit="1" customWidth="1"/>
    <col min="10" max="10" width="18.109375" bestFit="1" customWidth="1"/>
    <col min="11" max="11" width="21.88671875" bestFit="1" customWidth="1"/>
    <col min="12" max="12" width="23.33203125" bestFit="1" customWidth="1"/>
    <col min="13" max="13" width="20.21875" bestFit="1" customWidth="1"/>
    <col min="14" max="14" width="20.5546875" bestFit="1" customWidth="1"/>
    <col min="15" max="15" width="25.21875" bestFit="1" customWidth="1"/>
    <col min="16" max="16" width="26.33203125" bestFit="1" customWidth="1"/>
    <col min="17" max="17" width="28.21875" bestFit="1" customWidth="1"/>
    <col min="18" max="18" width="18.21875" bestFit="1" customWidth="1"/>
    <col min="19" max="19" width="17.44140625" bestFit="1" customWidth="1"/>
    <col min="20" max="20" width="34.77734375" bestFit="1" customWidth="1"/>
    <col min="21" max="21" width="26.5546875" bestFit="1" customWidth="1"/>
    <col min="22" max="22" width="27.21875" bestFit="1" customWidth="1"/>
    <col min="23" max="23" width="18.44140625" bestFit="1" customWidth="1"/>
    <col min="24" max="24" width="19.109375" bestFit="1" customWidth="1"/>
    <col min="25" max="25" width="25.6640625" bestFit="1" customWidth="1"/>
    <col min="26" max="26" width="33.33203125" bestFit="1" customWidth="1"/>
    <col min="27" max="27" width="19.109375" bestFit="1" customWidth="1"/>
    <col min="28" max="31" width="13.21875" bestFit="1" customWidth="1"/>
    <col min="32" max="35" width="25.5546875" bestFit="1" customWidth="1"/>
    <col min="36" max="36" width="12.77734375" bestFit="1" customWidth="1"/>
    <col min="37" max="37" width="18" bestFit="1" customWidth="1"/>
    <col min="38" max="38" width="22.6640625" bestFit="1" customWidth="1"/>
    <col min="39" max="39" width="19.88671875" bestFit="1" customWidth="1"/>
    <col min="40" max="40" width="21" bestFit="1" customWidth="1"/>
    <col min="41" max="41" width="16.33203125" bestFit="1" customWidth="1"/>
    <col min="42" max="42" width="25.109375" bestFit="1" customWidth="1"/>
    <col min="43" max="44" width="9.5546875" bestFit="1" customWidth="1"/>
    <col min="45" max="45" width="8.33203125" bestFit="1" customWidth="1"/>
    <col min="46" max="46" width="10" bestFit="1" customWidth="1"/>
  </cols>
  <sheetData>
    <row r="1" spans="1:4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>
      <c r="A2">
        <v>1</v>
      </c>
      <c r="B2" s="15">
        <v>45939.636087962965</v>
      </c>
      <c r="C2" t="s">
        <v>73</v>
      </c>
      <c r="D2" t="s">
        <v>99</v>
      </c>
      <c r="E2" t="s">
        <v>197</v>
      </c>
      <c r="F2" s="16">
        <v>270604</v>
      </c>
      <c r="G2" t="s">
        <v>77</v>
      </c>
      <c r="H2" t="s">
        <v>100</v>
      </c>
      <c r="I2" s="16">
        <v>105814</v>
      </c>
      <c r="J2">
        <v>24</v>
      </c>
      <c r="K2" s="16">
        <v>4553</v>
      </c>
      <c r="L2" s="16">
        <v>3842</v>
      </c>
      <c r="M2" s="16">
        <v>8832</v>
      </c>
      <c r="N2" s="16">
        <v>10053</v>
      </c>
      <c r="O2" s="16">
        <v>4018</v>
      </c>
      <c r="P2" s="16">
        <v>4812</v>
      </c>
      <c r="Q2" s="16">
        <v>6001</v>
      </c>
      <c r="R2" t="s">
        <v>101</v>
      </c>
      <c r="S2">
        <v>23</v>
      </c>
      <c r="T2" s="16">
        <v>34783</v>
      </c>
      <c r="U2" t="s">
        <v>102</v>
      </c>
      <c r="V2" s="16">
        <v>310923</v>
      </c>
      <c r="W2">
        <v>5</v>
      </c>
      <c r="X2" t="s">
        <v>103</v>
      </c>
      <c r="Y2" s="16">
        <v>29474</v>
      </c>
      <c r="Z2" s="16">
        <v>27218</v>
      </c>
      <c r="AA2">
        <v>19</v>
      </c>
      <c r="AB2">
        <v>85</v>
      </c>
      <c r="AC2">
        <v>85</v>
      </c>
      <c r="AD2">
        <v>85</v>
      </c>
      <c r="AE2">
        <v>85</v>
      </c>
      <c r="AF2" t="s">
        <v>104</v>
      </c>
      <c r="AG2" t="s">
        <v>105</v>
      </c>
      <c r="AH2" t="s">
        <v>105</v>
      </c>
      <c r="AI2" s="16">
        <v>16905</v>
      </c>
      <c r="AJ2">
        <v>0</v>
      </c>
      <c r="AK2" t="s">
        <v>83</v>
      </c>
      <c r="AL2">
        <v>120</v>
      </c>
      <c r="AM2" t="s">
        <v>84</v>
      </c>
      <c r="AN2" t="s">
        <v>85</v>
      </c>
      <c r="AO2">
        <v>40</v>
      </c>
      <c r="AP2">
        <v>3</v>
      </c>
      <c r="AQ2" s="16">
        <v>55949</v>
      </c>
      <c r="AR2" s="16">
        <v>34783</v>
      </c>
      <c r="AS2" s="16">
        <v>14976</v>
      </c>
      <c r="AT2" s="16">
        <v>40346</v>
      </c>
    </row>
    <row r="3" spans="1:46">
      <c r="A3">
        <v>2</v>
      </c>
      <c r="B3" s="15">
        <v>45939.646284722221</v>
      </c>
      <c r="C3" t="s">
        <v>195</v>
      </c>
      <c r="D3" t="s">
        <v>296</v>
      </c>
      <c r="E3" t="s">
        <v>75</v>
      </c>
      <c r="F3" t="s">
        <v>76</v>
      </c>
      <c r="G3" t="s">
        <v>198</v>
      </c>
      <c r="H3" t="s">
        <v>297</v>
      </c>
      <c r="I3" s="16">
        <v>132453</v>
      </c>
      <c r="J3">
        <v>29</v>
      </c>
      <c r="K3" s="16">
        <v>4899</v>
      </c>
      <c r="L3" s="16">
        <v>2506</v>
      </c>
      <c r="M3" s="16">
        <v>21114</v>
      </c>
      <c r="N3" s="16">
        <v>23553</v>
      </c>
      <c r="O3" s="16">
        <v>5033</v>
      </c>
      <c r="P3" s="16">
        <v>4792</v>
      </c>
      <c r="R3" t="s">
        <v>298</v>
      </c>
      <c r="S3">
        <v>27</v>
      </c>
      <c r="T3" s="16">
        <v>55556</v>
      </c>
      <c r="U3" s="16">
        <v>25954</v>
      </c>
      <c r="V3" s="16">
        <v>735933</v>
      </c>
      <c r="W3">
        <v>9</v>
      </c>
      <c r="X3" s="16">
        <v>2439</v>
      </c>
      <c r="Y3" t="s">
        <v>299</v>
      </c>
      <c r="Z3" s="16">
        <v>49376</v>
      </c>
      <c r="AA3">
        <v>30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83</v>
      </c>
      <c r="AL3">
        <v>120</v>
      </c>
      <c r="AM3" t="s">
        <v>84</v>
      </c>
      <c r="AN3" t="s">
        <v>85</v>
      </c>
      <c r="AO3">
        <v>40</v>
      </c>
      <c r="AP3">
        <v>3</v>
      </c>
      <c r="AQ3" s="16">
        <v>41168</v>
      </c>
      <c r="AR3" s="16">
        <v>55556</v>
      </c>
      <c r="AS3">
        <v>0</v>
      </c>
      <c r="AT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PUNTEGGI TRACCIAMENTO</vt:lpstr>
      <vt:lpstr>Descrizione Parametri</vt:lpstr>
      <vt:lpstr>Utente 1</vt:lpstr>
      <vt:lpstr>Utente 2</vt:lpstr>
      <vt:lpstr>Utente 3</vt:lpstr>
      <vt:lpstr>Utente 4</vt:lpstr>
      <vt:lpstr>Utente 5</vt:lpstr>
      <vt:lpstr>Utente 6</vt:lpstr>
      <vt:lpstr>Utente 7</vt:lpstr>
      <vt:lpstr>Utente 8</vt:lpstr>
      <vt:lpstr>Utente 9</vt:lpstr>
      <vt:lpstr>Utente 10</vt:lpstr>
      <vt:lpstr>Utente 11</vt:lpstr>
      <vt:lpstr>Utente 12</vt:lpstr>
      <vt:lpstr>Utente 13</vt:lpstr>
      <vt:lpstr>Utente 14</vt:lpstr>
      <vt:lpstr>Utente 15</vt:lpstr>
      <vt:lpstr>Utente 16</vt:lpstr>
      <vt:lpstr>Utente 17</vt:lpstr>
      <vt:lpstr>Utente 18</vt:lpstr>
      <vt:lpstr>Utente 19</vt:lpstr>
      <vt:lpstr>Utente 20</vt:lpstr>
      <vt:lpstr>Utente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Santalucia  Cristiano</dc:creator>
  <cp:lastModifiedBy>Santalucia  Cristiano</cp:lastModifiedBy>
  <dcterms:created xsi:type="dcterms:W3CDTF">2025-10-10T14:03:36Z</dcterms:created>
  <dcterms:modified xsi:type="dcterms:W3CDTF">2025-10-16T08:21:08Z</dcterms:modified>
</cp:coreProperties>
</file>