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rist\Documents\POLI\Tesi\_Test\Totale\"/>
    </mc:Choice>
  </mc:AlternateContent>
  <xr:revisionPtr revIDLastSave="0" documentId="13_ncr:1_{8E8A42CB-B64A-48A4-8FE0-7B83960EABE3}" xr6:coauthVersionLast="47" xr6:coauthVersionMax="47" xr10:uidLastSave="{00000000-0000-0000-0000-000000000000}"/>
  <bookViews>
    <workbookView xWindow="-108" yWindow="-108" windowWidth="23256" windowHeight="12456" tabRatio="960" firstSheet="21" activeTab="35" xr2:uid="{9BFBBF00-1AA8-4D1D-9C6E-1B5DAEA90873}"/>
  </bookViews>
  <sheets>
    <sheet name="Dati Anagrafici" sheetId="41" r:id="rId1"/>
    <sheet name="Fomo Generica" sheetId="29" r:id="rId2"/>
    <sheet name="Immersione" sheetId="28" r:id="rId3"/>
    <sheet name="Agency" sheetId="27" r:id="rId4"/>
    <sheet name="Presenza" sheetId="32" r:id="rId5"/>
    <sheet name="Fomo in video" sheetId="25" r:id="rId6"/>
    <sheet name="W-Comfort" sheetId="33" r:id="rId7"/>
    <sheet name="W-Coerenza" sheetId="35" r:id="rId8"/>
    <sheet name="W-Accettabilità°" sheetId="36" r:id="rId9"/>
    <sheet name="W-Percezione" sheetId="26" r:id="rId10"/>
    <sheet name="Soddisfazione°" sheetId="37" r:id="rId11"/>
    <sheet name="Cybersickness" sheetId="38" r:id="rId12"/>
    <sheet name="Imm. Specifiche" sheetId="31" r:id="rId13"/>
    <sheet name="SUS" sheetId="24" r:id="rId14"/>
    <sheet name="Confronto" sheetId="39" r:id="rId15"/>
    <sheet name="Utente 1" sheetId="2" r:id="rId16"/>
    <sheet name="Utente 2" sheetId="4" r:id="rId17"/>
    <sheet name="Utente 3" sheetId="3" r:id="rId18"/>
    <sheet name="Utente 4" sheetId="5" r:id="rId19"/>
    <sheet name="Utente 5" sheetId="6" r:id="rId20"/>
    <sheet name="Utente 6" sheetId="7" r:id="rId21"/>
    <sheet name="Utente 7" sheetId="8" r:id="rId22"/>
    <sheet name="Utente 8" sheetId="9" r:id="rId23"/>
    <sheet name="Utente 9" sheetId="10" r:id="rId24"/>
    <sheet name="Utente 10" sheetId="11" r:id="rId25"/>
    <sheet name="Utente 11" sheetId="12" r:id="rId26"/>
    <sheet name="Utente 12" sheetId="13" r:id="rId27"/>
    <sheet name="Utente 13" sheetId="14" r:id="rId28"/>
    <sheet name="Utente 14" sheetId="15" r:id="rId29"/>
    <sheet name="Utente 15" sheetId="16" r:id="rId30"/>
    <sheet name="Utente 16" sheetId="18" r:id="rId31"/>
    <sheet name="Utente 17" sheetId="19" r:id="rId32"/>
    <sheet name="Utente 18" sheetId="20" r:id="rId33"/>
    <sheet name="Utente 19" sheetId="21" r:id="rId34"/>
    <sheet name="Utente 20" sheetId="22" r:id="rId35"/>
    <sheet name="Utente 21" sheetId="23" r:id="rId36"/>
  </sheets>
  <externalReferences>
    <externalReference r:id="rId37"/>
  </externalReferences>
  <definedNames>
    <definedName name="_xlchart.v1.0" hidden="1">'Fomo Generica'!$D$3</definedName>
    <definedName name="_xlchart.v1.1" hidden="1">'Fomo Generica'!$D$4:$D$25</definedName>
    <definedName name="_xlchart.v1.10" hidden="1">Presenza!$D$5</definedName>
    <definedName name="_xlchart.v1.11" hidden="1">Presenza!$D$6:$D$26</definedName>
    <definedName name="_xlchart.v1.12" hidden="1">Presenza!$E$5</definedName>
    <definedName name="_xlchart.v1.13" hidden="1">Presenza!$E$6:$E$26</definedName>
    <definedName name="_xlchart.v1.14" hidden="1">'Fomo in video'!$D$5</definedName>
    <definedName name="_xlchart.v1.15" hidden="1">'Fomo in video'!$D$6:$D$26</definedName>
    <definedName name="_xlchart.v1.16" hidden="1">'Fomo in video'!$E$5</definedName>
    <definedName name="_xlchart.v1.17" hidden="1">'Fomo in video'!$E$6:$E$26</definedName>
    <definedName name="_xlchart.v1.18" hidden="1">'W-Comfort'!$D$5</definedName>
    <definedName name="_xlchart.v1.19" hidden="1">'W-Comfort'!$D$6:$D$26</definedName>
    <definedName name="_xlchart.v1.2" hidden="1">Immersione!$D$4</definedName>
    <definedName name="_xlchart.v1.20" hidden="1">'W-Comfort'!$E$5</definedName>
    <definedName name="_xlchart.v1.21" hidden="1">'W-Comfort'!$E$6:$E$26</definedName>
    <definedName name="_xlchart.v1.22" hidden="1">'W-Percezione'!$D$6:$D$26</definedName>
    <definedName name="_xlchart.v1.23" hidden="1">SUS!$D$5</definedName>
    <definedName name="_xlchart.v1.24" hidden="1">SUS!$D$6:$D$26</definedName>
    <definedName name="_xlchart.v1.25" hidden="1">SUS!$E$5</definedName>
    <definedName name="_xlchart.v1.26" hidden="1">SUS!$E$6:$E$26</definedName>
    <definedName name="_xlchart.v1.27" hidden="1">SUS!$D$5</definedName>
    <definedName name="_xlchart.v1.28" hidden="1">SUS!$D$6:$D$26</definedName>
    <definedName name="_xlchart.v1.29" hidden="1">SUS!$E$5</definedName>
    <definedName name="_xlchart.v1.3" hidden="1">Immersione!$D$5:$D$25</definedName>
    <definedName name="_xlchart.v1.30" hidden="1">SUS!$E$6:$E$26</definedName>
    <definedName name="_xlchart.v1.4" hidden="1">Immersione!$E$4</definedName>
    <definedName name="_xlchart.v1.5" hidden="1">Immersione!$E$5:$E$25</definedName>
    <definedName name="_xlchart.v1.6" hidden="1">Agency!$E$5</definedName>
    <definedName name="_xlchart.v1.7" hidden="1">Agency!$E$6:$E$26</definedName>
    <definedName name="_xlchart.v1.8" hidden="1">Agency!$F$5</definedName>
    <definedName name="_xlchart.v1.9" hidden="1">Agency!$F$6:$F$26</definedName>
    <definedName name="_xlnm.Print_Area" localSheetId="2">Immersione!$A$1:$AG$289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4" l="1" a="1"/>
  <c r="E22" i="24" a="1"/>
  <c r="E7" i="24" a="1"/>
  <c r="E10" i="24" a="1"/>
  <c r="D23" i="24" a="1"/>
  <c r="D24" i="24" a="1"/>
  <c r="D6" i="24" a="1"/>
  <c r="D20" i="24" a="1"/>
  <c r="D25" i="24" a="1"/>
  <c r="E14" i="24" a="1"/>
  <c r="D18" i="25" a="1"/>
  <c r="E22" i="25" a="1"/>
  <c r="D14" i="24" a="1"/>
  <c r="E7" i="25" a="1"/>
  <c r="D25" i="25" a="1"/>
  <c r="E24" i="25" a="1"/>
  <c r="D6" i="25" a="1"/>
  <c r="D26" i="25" a="1"/>
  <c r="E11" i="24" a="1"/>
  <c r="D26" i="24" a="1"/>
  <c r="D17" i="24" a="1"/>
  <c r="D16" i="24" a="1"/>
  <c r="D12" i="25" a="1"/>
  <c r="D9" i="25" a="1"/>
  <c r="D11" i="24" a="1"/>
  <c r="D18" i="24" a="1"/>
  <c r="E17" i="24" a="1"/>
  <c r="D8" i="25" a="1"/>
  <c r="E25" i="24" a="1"/>
  <c r="D20" i="25" a="1"/>
  <c r="E18" i="24" a="1"/>
  <c r="D22" i="24" a="1"/>
  <c r="E26" i="25" a="1"/>
  <c r="D21" i="24" a="1"/>
  <c r="E19" i="24" a="1"/>
  <c r="D11" i="25" a="1"/>
  <c r="E14" i="25" a="1"/>
  <c r="E8" i="25" a="1"/>
  <c r="E18" i="25" a="1"/>
  <c r="E6" i="24" a="1"/>
  <c r="D7" i="24" a="1"/>
  <c r="E25" i="25" a="1"/>
  <c r="D16" i="25" a="1"/>
  <c r="D22" i="25" a="1"/>
  <c r="E11" i="25" a="1"/>
  <c r="D13" i="25" a="1"/>
  <c r="E19" i="25" a="1"/>
  <c r="D9" i="24" a="1"/>
  <c r="D14" i="25" a="1"/>
  <c r="D23" i="25" a="1"/>
  <c r="D15" i="24" a="1"/>
  <c r="E13" i="25" a="1"/>
  <c r="E23" i="24" a="1"/>
  <c r="E12" i="24" a="1"/>
  <c r="D21" i="25" a="1"/>
  <c r="D19" i="24" a="1"/>
  <c r="D7" i="25" a="1"/>
  <c r="D15" i="25" a="1"/>
  <c r="E8" i="24" a="1"/>
  <c r="E20" i="25" a="1"/>
  <c r="E21" i="24" a="1"/>
  <c r="E6" i="25" a="1"/>
  <c r="E9" i="25" a="1"/>
  <c r="D19" i="25" a="1"/>
  <c r="D13" i="24" a="1"/>
  <c r="E16" i="25" a="1"/>
  <c r="E17" i="25" a="1"/>
  <c r="E23" i="25" a="1"/>
  <c r="D24" i="25" a="1"/>
  <c r="E26" i="24" a="1"/>
  <c r="D10" i="24" a="1"/>
  <c r="E24" i="24" a="1"/>
  <c r="E21" i="25" a="1"/>
  <c r="E9" i="24" a="1"/>
  <c r="E16" i="24" a="1"/>
  <c r="E20" i="24" a="1"/>
  <c r="E15" i="24" a="1"/>
  <c r="E13" i="24" a="1"/>
  <c r="D8" i="24" a="1"/>
  <c r="E12" i="25" a="1"/>
  <c r="E15" i="25" a="1"/>
  <c r="D10" i="25" a="1"/>
  <c r="D17" i="25" a="1"/>
  <c r="E10" i="25" a="1"/>
  <c r="E21" i="24" l="1"/>
  <c r="E11" i="24"/>
  <c r="E13" i="24"/>
  <c r="E10" i="24"/>
  <c r="E22" i="24"/>
  <c r="E14" i="24"/>
  <c r="E20" i="24"/>
  <c r="E12" i="24"/>
  <c r="E19" i="24"/>
  <c r="E26" i="24"/>
  <c r="E18" i="24"/>
  <c r="E25" i="24"/>
  <c r="E17" i="24"/>
  <c r="E9" i="24"/>
  <c r="E24" i="24"/>
  <c r="E16" i="24"/>
  <c r="E8" i="24"/>
  <c r="E23" i="24"/>
  <c r="E15" i="24"/>
  <c r="E7" i="24"/>
  <c r="D10" i="24"/>
  <c r="D25" i="24"/>
  <c r="D15" i="24"/>
  <c r="D14" i="24"/>
  <c r="D18" i="24"/>
  <c r="D17" i="24"/>
  <c r="D8" i="24"/>
  <c r="D23" i="24"/>
  <c r="D22" i="24"/>
  <c r="D11" i="24"/>
  <c r="D24" i="24"/>
  <c r="D13" i="24"/>
  <c r="D19" i="24"/>
  <c r="D16" i="24"/>
  <c r="D12" i="24"/>
  <c r="D26" i="24"/>
  <c r="D9" i="24"/>
  <c r="D7" i="24"/>
  <c r="D21" i="24"/>
  <c r="D20" i="24"/>
  <c r="E6" i="24"/>
  <c r="D6" i="24"/>
  <c r="D25" i="25"/>
  <c r="E22" i="25"/>
  <c r="D21" i="25"/>
  <c r="E14" i="25"/>
  <c r="D20" i="25"/>
  <c r="E21" i="25"/>
  <c r="E13" i="25"/>
  <c r="E20" i="25"/>
  <c r="E12" i="25"/>
  <c r="E11" i="25"/>
  <c r="E26" i="25"/>
  <c r="D10" i="25"/>
  <c r="D6" i="25"/>
  <c r="D16" i="25"/>
  <c r="D14" i="25"/>
  <c r="D8" i="25"/>
  <c r="E18" i="25"/>
  <c r="E10" i="25"/>
  <c r="D26" i="25"/>
  <c r="E19" i="25"/>
  <c r="E6" i="25"/>
  <c r="D23" i="25"/>
  <c r="D17" i="25"/>
  <c r="D15" i="25"/>
  <c r="E25" i="25"/>
  <c r="D18" i="25"/>
  <c r="D9" i="25"/>
  <c r="D24" i="25"/>
  <c r="D19" i="25"/>
  <c r="D22" i="25"/>
  <c r="D7" i="25"/>
  <c r="E17" i="25"/>
  <c r="E9" i="25"/>
  <c r="D13" i="25"/>
  <c r="E23" i="25"/>
  <c r="D12" i="25"/>
  <c r="E15" i="25"/>
  <c r="E24" i="25"/>
  <c r="D11" i="25"/>
  <c r="E7" i="25"/>
  <c r="E16" i="25"/>
  <c r="E8" i="25"/>
  <c r="E27" i="31" l="1"/>
  <c r="D27" i="31"/>
  <c r="D26" i="31"/>
  <c r="D195" i="24" a="1"/>
  <c r="D195" i="24" l="1"/>
  <c r="E195" i="24" a="1"/>
  <c r="D196" i="24" a="1"/>
  <c r="E196" i="24" a="1"/>
  <c r="D196" i="24" l="1"/>
  <c r="E195" i="24"/>
  <c r="E196" i="24"/>
  <c r="E197" i="24" a="1"/>
  <c r="D197" i="24" a="1"/>
  <c r="D197" i="24" l="1"/>
  <c r="E197" i="24"/>
  <c r="D198" i="24" a="1"/>
  <c r="D198" i="24" l="1"/>
  <c r="E198" i="24" a="1"/>
  <c r="E198" i="24" l="1"/>
  <c r="D199" i="24" a="1"/>
  <c r="D199" i="24" l="1"/>
  <c r="E199" i="24" a="1"/>
  <c r="E199" i="24" l="1"/>
  <c r="D200" i="24" a="1"/>
  <c r="D200" i="24" l="1"/>
  <c r="E200" i="24" a="1"/>
  <c r="E200" i="24" l="1"/>
  <c r="D201" i="24" a="1"/>
  <c r="D201" i="24" l="1"/>
  <c r="E201" i="24" a="1"/>
  <c r="E201" i="24" l="1"/>
  <c r="D202" i="24" a="1"/>
  <c r="D202" i="24" l="1"/>
  <c r="E202" i="24" a="1"/>
  <c r="E202" i="24" l="1"/>
  <c r="E203" i="24" a="1"/>
  <c r="D203" i="24" a="1"/>
  <c r="D203" i="24" l="1"/>
  <c r="E203" i="24"/>
  <c r="D204" i="24" a="1"/>
  <c r="E204" i="24" a="1"/>
  <c r="D204" i="24" l="1"/>
  <c r="E204" i="24"/>
  <c r="D205" i="24" a="1"/>
  <c r="D205" i="24" l="1"/>
  <c r="E205" i="24" a="1"/>
  <c r="E205" i="24" l="1"/>
  <c r="G26" i="41" l="1"/>
  <c r="G27" i="41"/>
  <c r="J27" i="41"/>
  <c r="J26" i="41"/>
  <c r="M27" i="41"/>
  <c r="M26" i="41"/>
  <c r="P27" i="41"/>
  <c r="P26" i="41"/>
  <c r="S27" i="41"/>
  <c r="S26" i="41"/>
  <c r="L159" i="2" l="1"/>
  <c r="L79" i="10"/>
  <c r="F177" i="23" l="1"/>
  <c r="F178" i="23" s="1"/>
  <c r="F176" i="23"/>
  <c r="I167" i="23"/>
  <c r="H167" i="23"/>
  <c r="I166" i="23"/>
  <c r="H166" i="23"/>
  <c r="I165" i="23"/>
  <c r="H165" i="23"/>
  <c r="I164" i="23"/>
  <c r="H164" i="23"/>
  <c r="I163" i="23"/>
  <c r="H163" i="23"/>
  <c r="I162" i="23"/>
  <c r="H162" i="23"/>
  <c r="I161" i="23"/>
  <c r="H161" i="23"/>
  <c r="I160" i="23"/>
  <c r="H160" i="23"/>
  <c r="I159" i="23"/>
  <c r="H159" i="23"/>
  <c r="I158" i="23"/>
  <c r="H158" i="23"/>
  <c r="L158" i="23" s="1"/>
  <c r="L159" i="23" s="1"/>
  <c r="I150" i="23"/>
  <c r="H150" i="23"/>
  <c r="I149" i="23"/>
  <c r="H149" i="23"/>
  <c r="I148" i="23"/>
  <c r="M145" i="23" s="1"/>
  <c r="M146" i="23" s="1"/>
  <c r="H148" i="23"/>
  <c r="I147" i="23"/>
  <c r="H147" i="23"/>
  <c r="I146" i="23"/>
  <c r="H146" i="23"/>
  <c r="L145" i="23" s="1"/>
  <c r="L146" i="23" s="1"/>
  <c r="I145" i="23"/>
  <c r="H145" i="23"/>
  <c r="L138" i="23"/>
  <c r="I137" i="23"/>
  <c r="M138" i="23" s="1"/>
  <c r="H137" i="23"/>
  <c r="L136" i="23"/>
  <c r="L137" i="23" s="1"/>
  <c r="I136" i="23"/>
  <c r="M136" i="23" s="1"/>
  <c r="M137" i="23" s="1"/>
  <c r="H136" i="23"/>
  <c r="I128" i="23"/>
  <c r="H128" i="23"/>
  <c r="I127" i="23"/>
  <c r="H127" i="23"/>
  <c r="L128" i="23" s="1"/>
  <c r="I126" i="23"/>
  <c r="M128" i="23" s="1"/>
  <c r="H126" i="23"/>
  <c r="I118" i="23"/>
  <c r="H118" i="23"/>
  <c r="I117" i="23"/>
  <c r="H117" i="23"/>
  <c r="I116" i="23"/>
  <c r="H116" i="23"/>
  <c r="L115" i="23"/>
  <c r="L116" i="23" s="1"/>
  <c r="I115" i="23"/>
  <c r="M117" i="23" s="1"/>
  <c r="H115" i="23"/>
  <c r="L117" i="23" s="1"/>
  <c r="I107" i="23"/>
  <c r="H107" i="23"/>
  <c r="I106" i="23"/>
  <c r="H106" i="23"/>
  <c r="I105" i="23"/>
  <c r="H105" i="23"/>
  <c r="I104" i="23"/>
  <c r="H104" i="23"/>
  <c r="L103" i="23"/>
  <c r="L104" i="23" s="1"/>
  <c r="I103" i="23"/>
  <c r="M105" i="23" s="1"/>
  <c r="H103" i="23"/>
  <c r="L105" i="23" s="1"/>
  <c r="I95" i="23"/>
  <c r="H95" i="23"/>
  <c r="I94" i="23"/>
  <c r="H94" i="23"/>
  <c r="I93" i="23"/>
  <c r="H93" i="23"/>
  <c r="I92" i="23"/>
  <c r="H92" i="23"/>
  <c r="L91" i="23"/>
  <c r="L92" i="23" s="1"/>
  <c r="I91" i="23"/>
  <c r="M93" i="23" s="1"/>
  <c r="H91" i="23"/>
  <c r="L93" i="23" s="1"/>
  <c r="I83" i="23"/>
  <c r="H83" i="23"/>
  <c r="I82" i="23"/>
  <c r="H82" i="23"/>
  <c r="I81" i="23"/>
  <c r="H81" i="23"/>
  <c r="I80" i="23"/>
  <c r="H80" i="23"/>
  <c r="I79" i="23"/>
  <c r="H79" i="23"/>
  <c r="L80" i="23" s="1"/>
  <c r="I78" i="23"/>
  <c r="M78" i="23" s="1"/>
  <c r="M79" i="23" s="1"/>
  <c r="H78" i="23"/>
  <c r="I70" i="23"/>
  <c r="H70" i="23"/>
  <c r="I69" i="23"/>
  <c r="H69" i="23"/>
  <c r="I68" i="23"/>
  <c r="M70" i="23" s="1"/>
  <c r="H68" i="23"/>
  <c r="L70" i="23" s="1"/>
  <c r="I60" i="23"/>
  <c r="H60" i="23"/>
  <c r="I59" i="23"/>
  <c r="H59" i="23"/>
  <c r="I58" i="23"/>
  <c r="H58" i="23"/>
  <c r="I57" i="23"/>
  <c r="H57" i="23"/>
  <c r="I56" i="23"/>
  <c r="H56" i="23"/>
  <c r="L55" i="23"/>
  <c r="I55" i="23"/>
  <c r="M57" i="23" s="1"/>
  <c r="H55" i="23"/>
  <c r="L57" i="23" s="1"/>
  <c r="I47" i="23"/>
  <c r="H47" i="23"/>
  <c r="I46" i="23"/>
  <c r="H46" i="23"/>
  <c r="I45" i="23"/>
  <c r="H45" i="23"/>
  <c r="I44" i="23"/>
  <c r="H44" i="23"/>
  <c r="I43" i="23"/>
  <c r="H43" i="23"/>
  <c r="I42" i="23"/>
  <c r="H42" i="23"/>
  <c r="I41" i="23"/>
  <c r="H41" i="23"/>
  <c r="L38" i="23" s="1"/>
  <c r="M40" i="23"/>
  <c r="I40" i="23"/>
  <c r="H40" i="23"/>
  <c r="I39" i="23"/>
  <c r="H39" i="23"/>
  <c r="I38" i="23"/>
  <c r="M38" i="23" s="1"/>
  <c r="M39" i="23" s="1"/>
  <c r="H38" i="23"/>
  <c r="F29" i="23"/>
  <c r="F28" i="23"/>
  <c r="F27" i="23"/>
  <c r="F26" i="23"/>
  <c r="F25" i="23"/>
  <c r="F24" i="23"/>
  <c r="F23" i="23"/>
  <c r="J21" i="23" s="1"/>
  <c r="F22" i="23"/>
  <c r="F21" i="23"/>
  <c r="F20" i="23"/>
  <c r="F177" i="22"/>
  <c r="F178" i="22" s="1"/>
  <c r="F176" i="22"/>
  <c r="I167" i="22"/>
  <c r="H167" i="22"/>
  <c r="I166" i="22"/>
  <c r="H166" i="22"/>
  <c r="I165" i="22"/>
  <c r="H165" i="22"/>
  <c r="I164" i="22"/>
  <c r="H164" i="22"/>
  <c r="I163" i="22"/>
  <c r="H163" i="22"/>
  <c r="I162" i="22"/>
  <c r="H162" i="22"/>
  <c r="I161" i="22"/>
  <c r="H161" i="22"/>
  <c r="I160" i="22"/>
  <c r="H160" i="22"/>
  <c r="I159" i="22"/>
  <c r="H159" i="22"/>
  <c r="I158" i="22"/>
  <c r="H158" i="22"/>
  <c r="I150" i="22"/>
  <c r="H150" i="22"/>
  <c r="L145" i="22" s="1"/>
  <c r="L146" i="22" s="1"/>
  <c r="I149" i="22"/>
  <c r="H149" i="22"/>
  <c r="I148" i="22"/>
  <c r="M145" i="22" s="1"/>
  <c r="M146" i="22" s="1"/>
  <c r="H148" i="22"/>
  <c r="I147" i="22"/>
  <c r="H147" i="22"/>
  <c r="I146" i="22"/>
  <c r="H146" i="22"/>
  <c r="I145" i="22"/>
  <c r="H145" i="22"/>
  <c r="L138" i="22"/>
  <c r="I137" i="22"/>
  <c r="H137" i="22"/>
  <c r="L136" i="22"/>
  <c r="L137" i="22" s="1"/>
  <c r="I136" i="22"/>
  <c r="M136" i="22" s="1"/>
  <c r="M137" i="22" s="1"/>
  <c r="H136" i="22"/>
  <c r="I128" i="22"/>
  <c r="H128" i="22"/>
  <c r="I127" i="22"/>
  <c r="H127" i="22"/>
  <c r="L126" i="22" s="1"/>
  <c r="L127" i="22" s="1"/>
  <c r="I126" i="22"/>
  <c r="M128" i="22" s="1"/>
  <c r="H126" i="22"/>
  <c r="L128" i="22" s="1"/>
  <c r="I118" i="22"/>
  <c r="H118" i="22"/>
  <c r="L117" i="22" s="1"/>
  <c r="M117" i="22"/>
  <c r="I117" i="22"/>
  <c r="H117" i="22"/>
  <c r="I116" i="22"/>
  <c r="H116" i="22"/>
  <c r="M115" i="22"/>
  <c r="M116" i="22" s="1"/>
  <c r="L115" i="22"/>
  <c r="L116" i="22" s="1"/>
  <c r="I115" i="22"/>
  <c r="H115" i="22"/>
  <c r="I107" i="22"/>
  <c r="H107" i="22"/>
  <c r="I106" i="22"/>
  <c r="H106" i="22"/>
  <c r="L105" i="22" s="1"/>
  <c r="M105" i="22"/>
  <c r="I105" i="22"/>
  <c r="H105" i="22"/>
  <c r="I104" i="22"/>
  <c r="H104" i="22"/>
  <c r="M103" i="22"/>
  <c r="M104" i="22" s="1"/>
  <c r="L103" i="22"/>
  <c r="L104" i="22" s="1"/>
  <c r="I103" i="22"/>
  <c r="H103" i="22"/>
  <c r="I95" i="22"/>
  <c r="M93" i="22" s="1"/>
  <c r="H95" i="22"/>
  <c r="I94" i="22"/>
  <c r="H94" i="22"/>
  <c r="L93" i="22" s="1"/>
  <c r="I93" i="22"/>
  <c r="H93" i="22"/>
  <c r="I92" i="22"/>
  <c r="H92" i="22"/>
  <c r="L91" i="22"/>
  <c r="L92" i="22" s="1"/>
  <c r="I91" i="22"/>
  <c r="H91" i="22"/>
  <c r="I83" i="22"/>
  <c r="H83" i="22"/>
  <c r="I82" i="22"/>
  <c r="H82" i="22"/>
  <c r="I81" i="22"/>
  <c r="H81" i="22"/>
  <c r="I80" i="22"/>
  <c r="H80" i="22"/>
  <c r="I79" i="22"/>
  <c r="H79" i="22"/>
  <c r="L80" i="22" s="1"/>
  <c r="I78" i="22"/>
  <c r="M80" i="22" s="1"/>
  <c r="H78" i="22"/>
  <c r="I70" i="22"/>
  <c r="H70" i="22"/>
  <c r="I69" i="22"/>
  <c r="H69" i="22"/>
  <c r="I68" i="22"/>
  <c r="M70" i="22" s="1"/>
  <c r="H68" i="22"/>
  <c r="L70" i="22" s="1"/>
  <c r="I60" i="22"/>
  <c r="H60" i="22"/>
  <c r="L55" i="22" s="1"/>
  <c r="I59" i="22"/>
  <c r="H59" i="22"/>
  <c r="I58" i="22"/>
  <c r="H58" i="22"/>
  <c r="I57" i="22"/>
  <c r="M57" i="22" s="1"/>
  <c r="H57" i="22"/>
  <c r="I56" i="22"/>
  <c r="H56" i="22"/>
  <c r="I55" i="22"/>
  <c r="H55" i="22"/>
  <c r="I47" i="22"/>
  <c r="H47" i="22"/>
  <c r="I46" i="22"/>
  <c r="H46" i="22"/>
  <c r="I45" i="22"/>
  <c r="H45" i="22"/>
  <c r="I44" i="22"/>
  <c r="H44" i="22"/>
  <c r="I43" i="22"/>
  <c r="H43" i="22"/>
  <c r="I42" i="22"/>
  <c r="H42" i="22"/>
  <c r="I41" i="22"/>
  <c r="H41" i="22"/>
  <c r="I40" i="22"/>
  <c r="H40" i="22"/>
  <c r="I39" i="22"/>
  <c r="H39" i="22"/>
  <c r="I38" i="22"/>
  <c r="H38" i="22"/>
  <c r="L38" i="22" s="1"/>
  <c r="F29" i="22"/>
  <c r="F28" i="22"/>
  <c r="F27" i="22"/>
  <c r="F26" i="22"/>
  <c r="F25" i="22"/>
  <c r="F24" i="22"/>
  <c r="F23" i="22"/>
  <c r="F22" i="22"/>
  <c r="F21" i="22"/>
  <c r="F20" i="22"/>
  <c r="J21" i="22" s="1"/>
  <c r="F178" i="21"/>
  <c r="F177" i="21"/>
  <c r="F176" i="21"/>
  <c r="I167" i="21"/>
  <c r="H167" i="21"/>
  <c r="I166" i="21"/>
  <c r="H166" i="21"/>
  <c r="I165" i="21"/>
  <c r="H165" i="21"/>
  <c r="I164" i="21"/>
  <c r="H164" i="21"/>
  <c r="I163" i="21"/>
  <c r="H163" i="21"/>
  <c r="I162" i="21"/>
  <c r="H162" i="21"/>
  <c r="I161" i="21"/>
  <c r="H161" i="21"/>
  <c r="I160" i="21"/>
  <c r="H160" i="21"/>
  <c r="I159" i="21"/>
  <c r="H159" i="21"/>
  <c r="L158" i="21" s="1"/>
  <c r="L159" i="21" s="1"/>
  <c r="I158" i="21"/>
  <c r="H158" i="21"/>
  <c r="I150" i="21"/>
  <c r="H150" i="21"/>
  <c r="I149" i="21"/>
  <c r="H149" i="21"/>
  <c r="I148" i="21"/>
  <c r="M145" i="21" s="1"/>
  <c r="M146" i="21" s="1"/>
  <c r="H148" i="21"/>
  <c r="I147" i="21"/>
  <c r="H147" i="21"/>
  <c r="I146" i="21"/>
  <c r="H146" i="21"/>
  <c r="L145" i="21" s="1"/>
  <c r="L146" i="21" s="1"/>
  <c r="I145" i="21"/>
  <c r="H145" i="21"/>
  <c r="I137" i="21"/>
  <c r="M136" i="21" s="1"/>
  <c r="M137" i="21" s="1"/>
  <c r="H137" i="21"/>
  <c r="L136" i="21" s="1"/>
  <c r="L137" i="21" s="1"/>
  <c r="I136" i="21"/>
  <c r="H136" i="21"/>
  <c r="L138" i="21" s="1"/>
  <c r="I128" i="21"/>
  <c r="H128" i="21"/>
  <c r="I127" i="21"/>
  <c r="H127" i="21"/>
  <c r="I126" i="21"/>
  <c r="M128" i="21" s="1"/>
  <c r="H126" i="21"/>
  <c r="L128" i="21" s="1"/>
  <c r="I118" i="21"/>
  <c r="H118" i="21"/>
  <c r="I117" i="21"/>
  <c r="H117" i="21"/>
  <c r="I116" i="21"/>
  <c r="H116" i="21"/>
  <c r="I115" i="21"/>
  <c r="M117" i="21" s="1"/>
  <c r="H115" i="21"/>
  <c r="L117" i="21" s="1"/>
  <c r="I107" i="21"/>
  <c r="H107" i="21"/>
  <c r="I106" i="21"/>
  <c r="H106" i="21"/>
  <c r="I105" i="21"/>
  <c r="H105" i="21"/>
  <c r="I104" i="21"/>
  <c r="H104" i="21"/>
  <c r="I103" i="21"/>
  <c r="M105" i="21" s="1"/>
  <c r="H103" i="21"/>
  <c r="L105" i="21" s="1"/>
  <c r="I95" i="21"/>
  <c r="H95" i="21"/>
  <c r="I94" i="21"/>
  <c r="H94" i="21"/>
  <c r="I93" i="21"/>
  <c r="H93" i="21"/>
  <c r="I92" i="21"/>
  <c r="H92" i="21"/>
  <c r="I91" i="21"/>
  <c r="M93" i="21" s="1"/>
  <c r="H91" i="21"/>
  <c r="L93" i="21" s="1"/>
  <c r="I83" i="21"/>
  <c r="H83" i="21"/>
  <c r="I82" i="21"/>
  <c r="H82" i="21"/>
  <c r="I81" i="21"/>
  <c r="H81" i="21"/>
  <c r="I80" i="21"/>
  <c r="H80" i="21"/>
  <c r="I79" i="21"/>
  <c r="H79" i="21"/>
  <c r="I78" i="21"/>
  <c r="M80" i="21" s="1"/>
  <c r="H78" i="21"/>
  <c r="L80" i="21" s="1"/>
  <c r="I70" i="21"/>
  <c r="H70" i="21"/>
  <c r="I69" i="21"/>
  <c r="H69" i="21"/>
  <c r="L70" i="21" s="1"/>
  <c r="I68" i="21"/>
  <c r="H68" i="21"/>
  <c r="I60" i="21"/>
  <c r="H60" i="21"/>
  <c r="I59" i="21"/>
  <c r="H59" i="21"/>
  <c r="I58" i="21"/>
  <c r="H58" i="21"/>
  <c r="I57" i="21"/>
  <c r="H57" i="21"/>
  <c r="I56" i="21"/>
  <c r="H56" i="21"/>
  <c r="I55" i="21"/>
  <c r="H55" i="21"/>
  <c r="I47" i="21"/>
  <c r="H47" i="21"/>
  <c r="I46" i="21"/>
  <c r="H46" i="21"/>
  <c r="I45" i="21"/>
  <c r="H45" i="21"/>
  <c r="I44" i="21"/>
  <c r="H44" i="21"/>
  <c r="I43" i="21"/>
  <c r="H43" i="21"/>
  <c r="I42" i="21"/>
  <c r="H42" i="21"/>
  <c r="I41" i="21"/>
  <c r="H41" i="21"/>
  <c r="I40" i="21"/>
  <c r="H40" i="21"/>
  <c r="L38" i="21" s="1"/>
  <c r="I39" i="21"/>
  <c r="H39" i="21"/>
  <c r="I38" i="21"/>
  <c r="H38" i="21"/>
  <c r="F29" i="21"/>
  <c r="F28" i="21"/>
  <c r="F27" i="21"/>
  <c r="F26" i="21"/>
  <c r="F25" i="21"/>
  <c r="F24" i="21"/>
  <c r="F23" i="21"/>
  <c r="F22" i="21"/>
  <c r="F21" i="21"/>
  <c r="J21" i="21" s="1"/>
  <c r="F20" i="21"/>
  <c r="F177" i="20"/>
  <c r="F178" i="20" s="1"/>
  <c r="F176" i="20"/>
  <c r="I167" i="20"/>
  <c r="H167" i="20"/>
  <c r="I166" i="20"/>
  <c r="H166" i="20"/>
  <c r="I165" i="20"/>
  <c r="H165" i="20"/>
  <c r="I164" i="20"/>
  <c r="H164" i="20"/>
  <c r="I163" i="20"/>
  <c r="H163" i="20"/>
  <c r="I162" i="20"/>
  <c r="H162" i="20"/>
  <c r="I161" i="20"/>
  <c r="H161" i="20"/>
  <c r="I160" i="20"/>
  <c r="M158" i="20" s="1"/>
  <c r="H160" i="20"/>
  <c r="I159" i="20"/>
  <c r="H159" i="20"/>
  <c r="I158" i="20"/>
  <c r="H158" i="20"/>
  <c r="L158" i="20" s="1"/>
  <c r="L159" i="20" s="1"/>
  <c r="I150" i="20"/>
  <c r="H150" i="20"/>
  <c r="I149" i="20"/>
  <c r="H149" i="20"/>
  <c r="I148" i="20"/>
  <c r="H148" i="20"/>
  <c r="I147" i="20"/>
  <c r="M145" i="20" s="1"/>
  <c r="M146" i="20" s="1"/>
  <c r="H147" i="20"/>
  <c r="I146" i="20"/>
  <c r="H146" i="20"/>
  <c r="I145" i="20"/>
  <c r="H145" i="20"/>
  <c r="L145" i="20" s="1"/>
  <c r="L146" i="20" s="1"/>
  <c r="L138" i="20"/>
  <c r="I137" i="20"/>
  <c r="H137" i="20"/>
  <c r="L136" i="20"/>
  <c r="L137" i="20" s="1"/>
  <c r="I136" i="20"/>
  <c r="M136" i="20" s="1"/>
  <c r="M137" i="20" s="1"/>
  <c r="H136" i="20"/>
  <c r="I128" i="20"/>
  <c r="H128" i="20"/>
  <c r="I127" i="20"/>
  <c r="H127" i="20"/>
  <c r="L126" i="20" s="1"/>
  <c r="L127" i="20" s="1"/>
  <c r="I126" i="20"/>
  <c r="M128" i="20" s="1"/>
  <c r="H126" i="20"/>
  <c r="L128" i="20" s="1"/>
  <c r="I118" i="20"/>
  <c r="H118" i="20"/>
  <c r="M117" i="20"/>
  <c r="I117" i="20"/>
  <c r="H117" i="20"/>
  <c r="I116" i="20"/>
  <c r="H116" i="20"/>
  <c r="M115" i="20"/>
  <c r="M116" i="20" s="1"/>
  <c r="L115" i="20"/>
  <c r="L116" i="20" s="1"/>
  <c r="I115" i="20"/>
  <c r="H115" i="20"/>
  <c r="L117" i="20" s="1"/>
  <c r="I107" i="20"/>
  <c r="H107" i="20"/>
  <c r="I106" i="20"/>
  <c r="H106" i="20"/>
  <c r="M105" i="20"/>
  <c r="I105" i="20"/>
  <c r="H105" i="20"/>
  <c r="I104" i="20"/>
  <c r="H104" i="20"/>
  <c r="M103" i="20"/>
  <c r="M104" i="20" s="1"/>
  <c r="L103" i="20"/>
  <c r="L104" i="20" s="1"/>
  <c r="I103" i="20"/>
  <c r="H103" i="20"/>
  <c r="L105" i="20" s="1"/>
  <c r="I95" i="20"/>
  <c r="H95" i="20"/>
  <c r="I94" i="20"/>
  <c r="H94" i="20"/>
  <c r="M93" i="20"/>
  <c r="I93" i="20"/>
  <c r="H93" i="20"/>
  <c r="I92" i="20"/>
  <c r="H92" i="20"/>
  <c r="L91" i="20"/>
  <c r="L92" i="20" s="1"/>
  <c r="I91" i="20"/>
  <c r="M91" i="20" s="1"/>
  <c r="M92" i="20" s="1"/>
  <c r="H91" i="20"/>
  <c r="L93" i="20" s="1"/>
  <c r="I83" i="20"/>
  <c r="H83" i="20"/>
  <c r="I82" i="20"/>
  <c r="H82" i="20"/>
  <c r="I81" i="20"/>
  <c r="H81" i="20"/>
  <c r="I80" i="20"/>
  <c r="H80" i="20"/>
  <c r="I79" i="20"/>
  <c r="H79" i="20"/>
  <c r="L78" i="20" s="1"/>
  <c r="L79" i="20" s="1"/>
  <c r="M78" i="20"/>
  <c r="M79" i="20" s="1"/>
  <c r="I78" i="20"/>
  <c r="M80" i="20" s="1"/>
  <c r="H78" i="20"/>
  <c r="L80" i="20" s="1"/>
  <c r="I70" i="20"/>
  <c r="H70" i="20"/>
  <c r="I69" i="20"/>
  <c r="H69" i="20"/>
  <c r="I68" i="20"/>
  <c r="H68" i="20"/>
  <c r="I60" i="20"/>
  <c r="H60" i="20"/>
  <c r="I59" i="20"/>
  <c r="H59" i="20"/>
  <c r="I58" i="20"/>
  <c r="H58" i="20"/>
  <c r="I57" i="20"/>
  <c r="H57" i="20"/>
  <c r="I56" i="20"/>
  <c r="H56" i="20"/>
  <c r="L55" i="20"/>
  <c r="I55" i="20"/>
  <c r="H55" i="20"/>
  <c r="I47" i="20"/>
  <c r="H47" i="20"/>
  <c r="I46" i="20"/>
  <c r="H46" i="20"/>
  <c r="I45" i="20"/>
  <c r="H45" i="20"/>
  <c r="I44" i="20"/>
  <c r="H44" i="20"/>
  <c r="I43" i="20"/>
  <c r="H43" i="20"/>
  <c r="I42" i="20"/>
  <c r="H42" i="20"/>
  <c r="I41" i="20"/>
  <c r="H41" i="20"/>
  <c r="L40" i="20" s="1"/>
  <c r="M40" i="20"/>
  <c r="I40" i="20"/>
  <c r="H40" i="20"/>
  <c r="I39" i="20"/>
  <c r="H39" i="20"/>
  <c r="I38" i="20"/>
  <c r="H38" i="20"/>
  <c r="F29" i="20"/>
  <c r="F28" i="20"/>
  <c r="F27" i="20"/>
  <c r="F26" i="20"/>
  <c r="F25" i="20"/>
  <c r="F24" i="20"/>
  <c r="F23" i="20"/>
  <c r="F22" i="20"/>
  <c r="F21" i="20"/>
  <c r="J21" i="20" s="1"/>
  <c r="F20" i="20"/>
  <c r="F177" i="19"/>
  <c r="F178" i="19" s="1"/>
  <c r="F176" i="19"/>
  <c r="I167" i="19"/>
  <c r="H167" i="19"/>
  <c r="I166" i="19"/>
  <c r="H166" i="19"/>
  <c r="I165" i="19"/>
  <c r="H165" i="19"/>
  <c r="I164" i="19"/>
  <c r="H164" i="19"/>
  <c r="I163" i="19"/>
  <c r="H163" i="19"/>
  <c r="I162" i="19"/>
  <c r="H162" i="19"/>
  <c r="I161" i="19"/>
  <c r="H161" i="19"/>
  <c r="I160" i="19"/>
  <c r="H160" i="19"/>
  <c r="I159" i="19"/>
  <c r="H159" i="19"/>
  <c r="I158" i="19"/>
  <c r="H158" i="19"/>
  <c r="I150" i="19"/>
  <c r="H150" i="19"/>
  <c r="I149" i="19"/>
  <c r="H149" i="19"/>
  <c r="I148" i="19"/>
  <c r="H148" i="19"/>
  <c r="I147" i="19"/>
  <c r="M145" i="19" s="1"/>
  <c r="M146" i="19" s="1"/>
  <c r="H147" i="19"/>
  <c r="I146" i="19"/>
  <c r="H146" i="19"/>
  <c r="I145" i="19"/>
  <c r="H145" i="19"/>
  <c r="L145" i="19" s="1"/>
  <c r="L146" i="19" s="1"/>
  <c r="L138" i="19"/>
  <c r="L137" i="19"/>
  <c r="I137" i="19"/>
  <c r="M138" i="19" s="1"/>
  <c r="H137" i="19"/>
  <c r="L136" i="19"/>
  <c r="I136" i="19"/>
  <c r="M136" i="19" s="1"/>
  <c r="M137" i="19" s="1"/>
  <c r="H136" i="19"/>
  <c r="L128" i="19"/>
  <c r="I128" i="19"/>
  <c r="H128" i="19"/>
  <c r="I127" i="19"/>
  <c r="H127" i="19"/>
  <c r="L126" i="19"/>
  <c r="L127" i="19" s="1"/>
  <c r="I126" i="19"/>
  <c r="M128" i="19" s="1"/>
  <c r="H126" i="19"/>
  <c r="I118" i="19"/>
  <c r="H118" i="19"/>
  <c r="M117" i="19"/>
  <c r="I117" i="19"/>
  <c r="H117" i="19"/>
  <c r="I116" i="19"/>
  <c r="H116" i="19"/>
  <c r="M115" i="19"/>
  <c r="M116" i="19" s="1"/>
  <c r="I115" i="19"/>
  <c r="H115" i="19"/>
  <c r="L117" i="19" s="1"/>
  <c r="I107" i="19"/>
  <c r="M103" i="19" s="1"/>
  <c r="M104" i="19" s="1"/>
  <c r="H107" i="19"/>
  <c r="I106" i="19"/>
  <c r="M105" i="19" s="1"/>
  <c r="H106" i="19"/>
  <c r="I105" i="19"/>
  <c r="H105" i="19"/>
  <c r="I104" i="19"/>
  <c r="H104" i="19"/>
  <c r="I103" i="19"/>
  <c r="H103" i="19"/>
  <c r="L105" i="19" s="1"/>
  <c r="I95" i="19"/>
  <c r="M93" i="19" s="1"/>
  <c r="H95" i="19"/>
  <c r="I94" i="19"/>
  <c r="H94" i="19"/>
  <c r="I93" i="19"/>
  <c r="H93" i="19"/>
  <c r="I92" i="19"/>
  <c r="H92" i="19"/>
  <c r="I91" i="19"/>
  <c r="H91" i="19"/>
  <c r="L93" i="19" s="1"/>
  <c r="I83" i="19"/>
  <c r="H83" i="19"/>
  <c r="I82" i="19"/>
  <c r="H82" i="19"/>
  <c r="I81" i="19"/>
  <c r="H81" i="19"/>
  <c r="L80" i="19"/>
  <c r="I80" i="19"/>
  <c r="H80" i="19"/>
  <c r="I79" i="19"/>
  <c r="H79" i="19"/>
  <c r="L78" i="19"/>
  <c r="L79" i="19" s="1"/>
  <c r="I78" i="19"/>
  <c r="M80" i="19" s="1"/>
  <c r="H78" i="19"/>
  <c r="I70" i="19"/>
  <c r="H70" i="19"/>
  <c r="I69" i="19"/>
  <c r="H69" i="19"/>
  <c r="I68" i="19"/>
  <c r="H68" i="19"/>
  <c r="L70" i="19" s="1"/>
  <c r="I60" i="19"/>
  <c r="H60" i="19"/>
  <c r="I59" i="19"/>
  <c r="H59" i="19"/>
  <c r="I58" i="19"/>
  <c r="H58" i="19"/>
  <c r="I57" i="19"/>
  <c r="H57" i="19"/>
  <c r="I56" i="19"/>
  <c r="H56" i="19"/>
  <c r="I55" i="19"/>
  <c r="H55" i="19"/>
  <c r="L57" i="19" s="1"/>
  <c r="I47" i="19"/>
  <c r="H47" i="19"/>
  <c r="I46" i="19"/>
  <c r="H46" i="19"/>
  <c r="I45" i="19"/>
  <c r="H45" i="19"/>
  <c r="I44" i="19"/>
  <c r="H44" i="19"/>
  <c r="I43" i="19"/>
  <c r="H43" i="19"/>
  <c r="I42" i="19"/>
  <c r="H42" i="19"/>
  <c r="I41" i="19"/>
  <c r="H41" i="19"/>
  <c r="I40" i="19"/>
  <c r="H40" i="19"/>
  <c r="I39" i="19"/>
  <c r="M38" i="19" s="1"/>
  <c r="H39" i="19"/>
  <c r="L40" i="19" s="1"/>
  <c r="I38" i="19"/>
  <c r="H38" i="19"/>
  <c r="F29" i="19"/>
  <c r="F28" i="19"/>
  <c r="F27" i="19"/>
  <c r="F26" i="19"/>
  <c r="F25" i="19"/>
  <c r="F24" i="19"/>
  <c r="F23" i="19"/>
  <c r="F22" i="19"/>
  <c r="F21" i="19"/>
  <c r="J21" i="19" s="1"/>
  <c r="F20" i="19"/>
  <c r="F177" i="18"/>
  <c r="F178" i="18" s="1"/>
  <c r="F176" i="18"/>
  <c r="I167" i="18"/>
  <c r="H167" i="18"/>
  <c r="I166" i="18"/>
  <c r="H166" i="18"/>
  <c r="I165" i="18"/>
  <c r="H165" i="18"/>
  <c r="I164" i="18"/>
  <c r="H164" i="18"/>
  <c r="I163" i="18"/>
  <c r="H163" i="18"/>
  <c r="I162" i="18"/>
  <c r="H162" i="18"/>
  <c r="I161" i="18"/>
  <c r="H161" i="18"/>
  <c r="I160" i="18"/>
  <c r="H160" i="18"/>
  <c r="I159" i="18"/>
  <c r="H159" i="18"/>
  <c r="I158" i="18"/>
  <c r="H158" i="18"/>
  <c r="I150" i="18"/>
  <c r="H150" i="18"/>
  <c r="I149" i="18"/>
  <c r="H149" i="18"/>
  <c r="I148" i="18"/>
  <c r="H148" i="18"/>
  <c r="I147" i="18"/>
  <c r="H147" i="18"/>
  <c r="I146" i="18"/>
  <c r="H146" i="18"/>
  <c r="M145" i="18"/>
  <c r="M146" i="18" s="1"/>
  <c r="L145" i="18"/>
  <c r="L146" i="18" s="1"/>
  <c r="I145" i="18"/>
  <c r="H145" i="18"/>
  <c r="L138" i="18"/>
  <c r="I137" i="18"/>
  <c r="M138" i="18" s="1"/>
  <c r="H137" i="18"/>
  <c r="M136" i="18"/>
  <c r="M137" i="18" s="1"/>
  <c r="L136" i="18"/>
  <c r="L137" i="18" s="1"/>
  <c r="I136" i="18"/>
  <c r="H136" i="18"/>
  <c r="I128" i="18"/>
  <c r="H128" i="18"/>
  <c r="I127" i="18"/>
  <c r="H127" i="18"/>
  <c r="M126" i="18"/>
  <c r="M127" i="18" s="1"/>
  <c r="L126" i="18"/>
  <c r="L127" i="18" s="1"/>
  <c r="I126" i="18"/>
  <c r="M128" i="18" s="1"/>
  <c r="H126" i="18"/>
  <c r="L128" i="18" s="1"/>
  <c r="I118" i="18"/>
  <c r="H118" i="18"/>
  <c r="I117" i="18"/>
  <c r="H117" i="18"/>
  <c r="I116" i="18"/>
  <c r="H116" i="18"/>
  <c r="M115" i="18"/>
  <c r="M116" i="18" s="1"/>
  <c r="L115" i="18"/>
  <c r="L116" i="18" s="1"/>
  <c r="I115" i="18"/>
  <c r="M117" i="18" s="1"/>
  <c r="H115" i="18"/>
  <c r="L117" i="18" s="1"/>
  <c r="I107" i="18"/>
  <c r="H107" i="18"/>
  <c r="I106" i="18"/>
  <c r="H106" i="18"/>
  <c r="I105" i="18"/>
  <c r="H105" i="18"/>
  <c r="I104" i="18"/>
  <c r="H104" i="18"/>
  <c r="I103" i="18"/>
  <c r="M105" i="18" s="1"/>
  <c r="H103" i="18"/>
  <c r="L105" i="18" s="1"/>
  <c r="I95" i="18"/>
  <c r="H95" i="18"/>
  <c r="I94" i="18"/>
  <c r="H94" i="18"/>
  <c r="I93" i="18"/>
  <c r="H93" i="18"/>
  <c r="I92" i="18"/>
  <c r="H92" i="18"/>
  <c r="M91" i="18"/>
  <c r="M92" i="18" s="1"/>
  <c r="I91" i="18"/>
  <c r="M93" i="18" s="1"/>
  <c r="H91" i="18"/>
  <c r="L93" i="18" s="1"/>
  <c r="I83" i="18"/>
  <c r="H83" i="18"/>
  <c r="I82" i="18"/>
  <c r="H82" i="18"/>
  <c r="I81" i="18"/>
  <c r="H81" i="18"/>
  <c r="I80" i="18"/>
  <c r="H80" i="18"/>
  <c r="I79" i="18"/>
  <c r="H79" i="18"/>
  <c r="M78" i="18"/>
  <c r="M79" i="18" s="1"/>
  <c r="L78" i="18"/>
  <c r="L79" i="18" s="1"/>
  <c r="I78" i="18"/>
  <c r="M80" i="18" s="1"/>
  <c r="H78" i="18"/>
  <c r="L80" i="18" s="1"/>
  <c r="I70" i="18"/>
  <c r="H70" i="18"/>
  <c r="I69" i="18"/>
  <c r="H69" i="18"/>
  <c r="M68" i="18"/>
  <c r="L68" i="18"/>
  <c r="I68" i="18"/>
  <c r="H68" i="18"/>
  <c r="L70" i="18" s="1"/>
  <c r="I60" i="18"/>
  <c r="H60" i="18"/>
  <c r="I59" i="18"/>
  <c r="H59" i="18"/>
  <c r="I58" i="18"/>
  <c r="H58" i="18"/>
  <c r="I57" i="18"/>
  <c r="M55" i="18" s="1"/>
  <c r="H57" i="18"/>
  <c r="I56" i="18"/>
  <c r="H56" i="18"/>
  <c r="I55" i="18"/>
  <c r="H55" i="18"/>
  <c r="I47" i="18"/>
  <c r="H47" i="18"/>
  <c r="I46" i="18"/>
  <c r="H46" i="18"/>
  <c r="I45" i="18"/>
  <c r="H45" i="18"/>
  <c r="I44" i="18"/>
  <c r="H44" i="18"/>
  <c r="I43" i="18"/>
  <c r="H43" i="18"/>
  <c r="I42" i="18"/>
  <c r="H42" i="18"/>
  <c r="I41" i="18"/>
  <c r="H41" i="18"/>
  <c r="L38" i="18" s="1"/>
  <c r="I40" i="18"/>
  <c r="M38" i="18" s="1"/>
  <c r="H40" i="18"/>
  <c r="I39" i="18"/>
  <c r="H39" i="18"/>
  <c r="I38" i="18"/>
  <c r="H38" i="18"/>
  <c r="F29" i="18"/>
  <c r="F28" i="18"/>
  <c r="F27" i="18"/>
  <c r="F26" i="18"/>
  <c r="F25" i="18"/>
  <c r="F24" i="18"/>
  <c r="J19" i="18" s="1"/>
  <c r="J20" i="18" s="1"/>
  <c r="F23" i="18"/>
  <c r="F22" i="18"/>
  <c r="F21" i="18"/>
  <c r="J21" i="18" s="1"/>
  <c r="F20" i="18"/>
  <c r="M70" i="21" l="1"/>
  <c r="L68" i="21"/>
  <c r="M70" i="20"/>
  <c r="L70" i="20"/>
  <c r="M70" i="19"/>
  <c r="M69" i="18"/>
  <c r="M70" i="18"/>
  <c r="L69" i="18"/>
  <c r="L39" i="23"/>
  <c r="M38" i="22"/>
  <c r="M39" i="22" s="1"/>
  <c r="L39" i="22"/>
  <c r="M38" i="21"/>
  <c r="M39" i="21" s="1"/>
  <c r="L39" i="21"/>
  <c r="L40" i="21"/>
  <c r="M38" i="20"/>
  <c r="M39" i="20"/>
  <c r="L38" i="20"/>
  <c r="L39" i="20"/>
  <c r="M39" i="19"/>
  <c r="M40" i="19"/>
  <c r="L38" i="19"/>
  <c r="M40" i="18"/>
  <c r="L40" i="18"/>
  <c r="M39" i="18"/>
  <c r="L39" i="18"/>
  <c r="L56" i="23"/>
  <c r="M55" i="22"/>
  <c r="L56" i="22"/>
  <c r="L57" i="22"/>
  <c r="M57" i="21"/>
  <c r="L57" i="21"/>
  <c r="M57" i="20"/>
  <c r="L57" i="20"/>
  <c r="L56" i="20"/>
  <c r="M56" i="18"/>
  <c r="M57" i="18"/>
  <c r="M57" i="19"/>
  <c r="L57" i="18"/>
  <c r="M158" i="23"/>
  <c r="M158" i="21"/>
  <c r="M159" i="20"/>
  <c r="M158" i="22"/>
  <c r="L158" i="22"/>
  <c r="L159" i="22" s="1"/>
  <c r="L158" i="19"/>
  <c r="L159" i="19" s="1"/>
  <c r="M158" i="19"/>
  <c r="L158" i="18"/>
  <c r="L159" i="18" s="1"/>
  <c r="M158" i="18"/>
  <c r="L40" i="23"/>
  <c r="L78" i="23"/>
  <c r="L79" i="23" s="1"/>
  <c r="L126" i="23"/>
  <c r="L127" i="23" s="1"/>
  <c r="M55" i="23"/>
  <c r="M91" i="23"/>
  <c r="M92" i="23" s="1"/>
  <c r="M103" i="23"/>
  <c r="M104" i="23" s="1"/>
  <c r="M115" i="23"/>
  <c r="M116" i="23" s="1"/>
  <c r="L68" i="23"/>
  <c r="M126" i="23"/>
  <c r="M127" i="23" s="1"/>
  <c r="M68" i="23"/>
  <c r="M69" i="23" s="1"/>
  <c r="J19" i="23"/>
  <c r="J20" i="23" s="1"/>
  <c r="M80" i="23"/>
  <c r="L40" i="22"/>
  <c r="L78" i="22"/>
  <c r="L79" i="22" s="1"/>
  <c r="M40" i="22"/>
  <c r="M78" i="22"/>
  <c r="M79" i="22" s="1"/>
  <c r="M126" i="22"/>
  <c r="M127" i="22" s="1"/>
  <c r="L68" i="22"/>
  <c r="M91" i="22"/>
  <c r="M92" i="22" s="1"/>
  <c r="M68" i="22"/>
  <c r="J19" i="22"/>
  <c r="J20" i="22" s="1"/>
  <c r="M138" i="22"/>
  <c r="L78" i="21"/>
  <c r="L79" i="21" s="1"/>
  <c r="L126" i="21"/>
  <c r="L127" i="21" s="1"/>
  <c r="L55" i="21"/>
  <c r="L91" i="21"/>
  <c r="L92" i="21" s="1"/>
  <c r="L103" i="21"/>
  <c r="L104" i="21" s="1"/>
  <c r="L115" i="21"/>
  <c r="L116" i="21" s="1"/>
  <c r="M55" i="21"/>
  <c r="M91" i="21"/>
  <c r="M92" i="21" s="1"/>
  <c r="M103" i="21"/>
  <c r="M104" i="21" s="1"/>
  <c r="M115" i="21"/>
  <c r="M116" i="21" s="1"/>
  <c r="M138" i="21"/>
  <c r="M126" i="21"/>
  <c r="M127" i="21" s="1"/>
  <c r="M40" i="21"/>
  <c r="M68" i="21"/>
  <c r="M78" i="21"/>
  <c r="M79" i="21" s="1"/>
  <c r="J19" i="21"/>
  <c r="J20" i="21" s="1"/>
  <c r="M126" i="20"/>
  <c r="M127" i="20" s="1"/>
  <c r="L68" i="20"/>
  <c r="M55" i="20"/>
  <c r="M138" i="20"/>
  <c r="M68" i="20"/>
  <c r="J19" i="20"/>
  <c r="J20" i="20" s="1"/>
  <c r="M78" i="19"/>
  <c r="M79" i="19" s="1"/>
  <c r="M126" i="19"/>
  <c r="M127" i="19" s="1"/>
  <c r="L55" i="19"/>
  <c r="L91" i="19"/>
  <c r="L92" i="19" s="1"/>
  <c r="L103" i="19"/>
  <c r="L104" i="19" s="1"/>
  <c r="L115" i="19"/>
  <c r="L116" i="19" s="1"/>
  <c r="M91" i="19"/>
  <c r="M92" i="19" s="1"/>
  <c r="M55" i="19"/>
  <c r="L68" i="19"/>
  <c r="M68" i="19"/>
  <c r="J19" i="19"/>
  <c r="J20" i="19" s="1"/>
  <c r="M103" i="18"/>
  <c r="M104" i="18" s="1"/>
  <c r="L55" i="18"/>
  <c r="L91" i="18"/>
  <c r="L92" i="18" s="1"/>
  <c r="L103" i="18"/>
  <c r="L104" i="18" s="1"/>
  <c r="AD15" i="24"/>
  <c r="V10" i="24" l="1"/>
  <c r="U10" i="24"/>
  <c r="V12" i="24" a="1"/>
  <c r="V12" i="24" s="1"/>
  <c r="T10" i="24"/>
  <c r="T11" i="24"/>
  <c r="T12" i="24" s="1"/>
  <c r="Y12" i="24" s="1"/>
  <c r="U17" i="24" s="1"/>
  <c r="AD9" i="24"/>
  <c r="AD12" i="24"/>
  <c r="AD18" i="24" s="1"/>
  <c r="V11" i="24"/>
  <c r="AE9" i="24"/>
  <c r="U11" i="24"/>
  <c r="AD11" i="24"/>
  <c r="L69" i="23"/>
  <c r="M69" i="22"/>
  <c r="L69" i="22"/>
  <c r="M69" i="21"/>
  <c r="L69" i="21"/>
  <c r="M69" i="20"/>
  <c r="L69" i="20"/>
  <c r="M69" i="19"/>
  <c r="L69" i="19"/>
  <c r="L39" i="19"/>
  <c r="M56" i="23"/>
  <c r="M56" i="22"/>
  <c r="M56" i="21"/>
  <c r="L56" i="21"/>
  <c r="M56" i="20"/>
  <c r="M56" i="19"/>
  <c r="L56" i="19"/>
  <c r="L56" i="18"/>
  <c r="M159" i="23"/>
  <c r="M159" i="22"/>
  <c r="M159" i="21"/>
  <c r="M159" i="19"/>
  <c r="M159" i="18"/>
  <c r="U12" i="24" l="1"/>
  <c r="U16" i="24"/>
  <c r="W12" i="24"/>
  <c r="X12" i="24" s="1"/>
  <c r="T17" i="24" s="1"/>
  <c r="X17" i="24" s="1"/>
  <c r="Z12" i="24"/>
  <c r="AD13" i="24"/>
  <c r="AD14" i="24" s="1"/>
  <c r="F177" i="16"/>
  <c r="F178" i="16" s="1"/>
  <c r="F176" i="16"/>
  <c r="I167" i="16"/>
  <c r="H167" i="16"/>
  <c r="I166" i="16"/>
  <c r="H166" i="16"/>
  <c r="I165" i="16"/>
  <c r="H165" i="16"/>
  <c r="I164" i="16"/>
  <c r="H164" i="16"/>
  <c r="I163" i="16"/>
  <c r="H163" i="16"/>
  <c r="I162" i="16"/>
  <c r="H162" i="16"/>
  <c r="I161" i="16"/>
  <c r="H161" i="16"/>
  <c r="I160" i="16"/>
  <c r="H160" i="16"/>
  <c r="I159" i="16"/>
  <c r="H159" i="16"/>
  <c r="I158" i="16"/>
  <c r="M158" i="16" s="1"/>
  <c r="H158" i="16"/>
  <c r="L158" i="16" s="1"/>
  <c r="L159" i="16" s="1"/>
  <c r="I150" i="16"/>
  <c r="H150" i="16"/>
  <c r="I149" i="16"/>
  <c r="H149" i="16"/>
  <c r="I148" i="16"/>
  <c r="H148" i="16"/>
  <c r="I147" i="16"/>
  <c r="H147" i="16"/>
  <c r="I146" i="16"/>
  <c r="H146" i="16"/>
  <c r="I145" i="16"/>
  <c r="M145" i="16" s="1"/>
  <c r="M146" i="16" s="1"/>
  <c r="H145" i="16"/>
  <c r="L145" i="16" s="1"/>
  <c r="L146" i="16" s="1"/>
  <c r="L138" i="16"/>
  <c r="L137" i="16"/>
  <c r="I137" i="16"/>
  <c r="M136" i="16" s="1"/>
  <c r="M137" i="16" s="1"/>
  <c r="H137" i="16"/>
  <c r="L136" i="16"/>
  <c r="I136" i="16"/>
  <c r="M138" i="16" s="1"/>
  <c r="H136" i="16"/>
  <c r="I128" i="16"/>
  <c r="H128" i="16"/>
  <c r="I127" i="16"/>
  <c r="H127" i="16"/>
  <c r="L128" i="16" s="1"/>
  <c r="L126" i="16"/>
  <c r="L127" i="16" s="1"/>
  <c r="I126" i="16"/>
  <c r="M128" i="16" s="1"/>
  <c r="H126" i="16"/>
  <c r="I118" i="16"/>
  <c r="H118" i="16"/>
  <c r="I117" i="16"/>
  <c r="H117" i="16"/>
  <c r="I116" i="16"/>
  <c r="M117" i="16" s="1"/>
  <c r="H116" i="16"/>
  <c r="I115" i="16"/>
  <c r="H115" i="16"/>
  <c r="L117" i="16" s="1"/>
  <c r="I107" i="16"/>
  <c r="H107" i="16"/>
  <c r="I106" i="16"/>
  <c r="H106" i="16"/>
  <c r="I105" i="16"/>
  <c r="H105" i="16"/>
  <c r="I104" i="16"/>
  <c r="M103" i="16" s="1"/>
  <c r="M104" i="16" s="1"/>
  <c r="H104" i="16"/>
  <c r="I103" i="16"/>
  <c r="M105" i="16" s="1"/>
  <c r="H103" i="16"/>
  <c r="L105" i="16" s="1"/>
  <c r="I95" i="16"/>
  <c r="H95" i="16"/>
  <c r="I94" i="16"/>
  <c r="H94" i="16"/>
  <c r="I93" i="16"/>
  <c r="H93" i="16"/>
  <c r="I92" i="16"/>
  <c r="M91" i="16" s="1"/>
  <c r="M92" i="16" s="1"/>
  <c r="H92" i="16"/>
  <c r="I91" i="16"/>
  <c r="M93" i="16" s="1"/>
  <c r="H91" i="16"/>
  <c r="L93" i="16" s="1"/>
  <c r="I83" i="16"/>
  <c r="H83" i="16"/>
  <c r="I82" i="16"/>
  <c r="H82" i="16"/>
  <c r="I81" i="16"/>
  <c r="H81" i="16"/>
  <c r="I80" i="16"/>
  <c r="H80" i="16"/>
  <c r="I79" i="16"/>
  <c r="H79" i="16"/>
  <c r="L80" i="16" s="1"/>
  <c r="L78" i="16"/>
  <c r="L79" i="16" s="1"/>
  <c r="I78" i="16"/>
  <c r="M80" i="16" s="1"/>
  <c r="H78" i="16"/>
  <c r="M70" i="16"/>
  <c r="I70" i="16"/>
  <c r="H70" i="16"/>
  <c r="I69" i="16"/>
  <c r="H69" i="16"/>
  <c r="M68" i="16"/>
  <c r="M69" i="16" s="1"/>
  <c r="I68" i="16"/>
  <c r="H68" i="16"/>
  <c r="L70" i="16" s="1"/>
  <c r="I60" i="16"/>
  <c r="H60" i="16"/>
  <c r="I59" i="16"/>
  <c r="H59" i="16"/>
  <c r="I58" i="16"/>
  <c r="H58" i="16"/>
  <c r="I57" i="16"/>
  <c r="H57" i="16"/>
  <c r="I56" i="16"/>
  <c r="M55" i="16" s="1"/>
  <c r="H56" i="16"/>
  <c r="I55" i="16"/>
  <c r="M57" i="16" s="1"/>
  <c r="H55" i="16"/>
  <c r="I47" i="16"/>
  <c r="H47" i="16"/>
  <c r="I46" i="16"/>
  <c r="H46" i="16"/>
  <c r="I45" i="16"/>
  <c r="H45" i="16"/>
  <c r="I44" i="16"/>
  <c r="H44" i="16"/>
  <c r="I43" i="16"/>
  <c r="H43" i="16"/>
  <c r="I42" i="16"/>
  <c r="H42" i="16"/>
  <c r="I41" i="16"/>
  <c r="H41" i="16"/>
  <c r="L38" i="16" s="1"/>
  <c r="L40" i="16"/>
  <c r="I40" i="16"/>
  <c r="M38" i="16" s="1"/>
  <c r="H40" i="16"/>
  <c r="I39" i="16"/>
  <c r="H39" i="16"/>
  <c r="I38" i="16"/>
  <c r="H38" i="16"/>
  <c r="F29" i="16"/>
  <c r="F28" i="16"/>
  <c r="F27" i="16"/>
  <c r="F26" i="16"/>
  <c r="F25" i="16"/>
  <c r="F24" i="16"/>
  <c r="F23" i="16"/>
  <c r="F22" i="16"/>
  <c r="F21" i="16"/>
  <c r="J21" i="16" s="1"/>
  <c r="F20" i="16"/>
  <c r="F177" i="15"/>
  <c r="F178" i="15" s="1"/>
  <c r="F176" i="15"/>
  <c r="I167" i="15"/>
  <c r="H167" i="15"/>
  <c r="I166" i="15"/>
  <c r="H166" i="15"/>
  <c r="I165" i="15"/>
  <c r="H165" i="15"/>
  <c r="I164" i="15"/>
  <c r="H164" i="15"/>
  <c r="I163" i="15"/>
  <c r="H163" i="15"/>
  <c r="I162" i="15"/>
  <c r="H162" i="15"/>
  <c r="I161" i="15"/>
  <c r="H161" i="15"/>
  <c r="I160" i="15"/>
  <c r="H160" i="15"/>
  <c r="I159" i="15"/>
  <c r="H159" i="15"/>
  <c r="I158" i="15"/>
  <c r="H158" i="15"/>
  <c r="L158" i="15" s="1"/>
  <c r="L159" i="15" s="1"/>
  <c r="I150" i="15"/>
  <c r="H150" i="15"/>
  <c r="I149" i="15"/>
  <c r="H149" i="15"/>
  <c r="I148" i="15"/>
  <c r="H148" i="15"/>
  <c r="I147" i="15"/>
  <c r="H147" i="15"/>
  <c r="I146" i="15"/>
  <c r="H146" i="15"/>
  <c r="I145" i="15"/>
  <c r="M145" i="15" s="1"/>
  <c r="M146" i="15" s="1"/>
  <c r="H145" i="15"/>
  <c r="L145" i="15" s="1"/>
  <c r="L146" i="15" s="1"/>
  <c r="L138" i="15"/>
  <c r="L137" i="15"/>
  <c r="I137" i="15"/>
  <c r="M138" i="15" s="1"/>
  <c r="H137" i="15"/>
  <c r="M136" i="15"/>
  <c r="M137" i="15" s="1"/>
  <c r="L136" i="15"/>
  <c r="I136" i="15"/>
  <c r="H136" i="15"/>
  <c r="I128" i="15"/>
  <c r="H128" i="15"/>
  <c r="I127" i="15"/>
  <c r="H127" i="15"/>
  <c r="L126" i="15"/>
  <c r="L127" i="15" s="1"/>
  <c r="I126" i="15"/>
  <c r="M128" i="15" s="1"/>
  <c r="H126" i="15"/>
  <c r="L128" i="15" s="1"/>
  <c r="I118" i="15"/>
  <c r="H118" i="15"/>
  <c r="I117" i="15"/>
  <c r="H117" i="15"/>
  <c r="I116" i="15"/>
  <c r="H116" i="15"/>
  <c r="I115" i="15"/>
  <c r="M117" i="15" s="1"/>
  <c r="H115" i="15"/>
  <c r="L117" i="15" s="1"/>
  <c r="I107" i="15"/>
  <c r="H107" i="15"/>
  <c r="I106" i="15"/>
  <c r="M103" i="15" s="1"/>
  <c r="M104" i="15" s="1"/>
  <c r="H106" i="15"/>
  <c r="I105" i="15"/>
  <c r="H105" i="15"/>
  <c r="I104" i="15"/>
  <c r="H104" i="15"/>
  <c r="I103" i="15"/>
  <c r="M105" i="15" s="1"/>
  <c r="H103" i="15"/>
  <c r="L105" i="15" s="1"/>
  <c r="I95" i="15"/>
  <c r="H95" i="15"/>
  <c r="I94" i="15"/>
  <c r="H94" i="15"/>
  <c r="I93" i="15"/>
  <c r="H93" i="15"/>
  <c r="I92" i="15"/>
  <c r="H92" i="15"/>
  <c r="M91" i="15"/>
  <c r="M92" i="15" s="1"/>
  <c r="I91" i="15"/>
  <c r="M93" i="15" s="1"/>
  <c r="H91" i="15"/>
  <c r="L93" i="15" s="1"/>
  <c r="I83" i="15"/>
  <c r="H83" i="15"/>
  <c r="I82" i="15"/>
  <c r="H82" i="15"/>
  <c r="I81" i="15"/>
  <c r="H81" i="15"/>
  <c r="I80" i="15"/>
  <c r="H80" i="15"/>
  <c r="I79" i="15"/>
  <c r="H79" i="15"/>
  <c r="L78" i="15"/>
  <c r="L79" i="15" s="1"/>
  <c r="I78" i="15"/>
  <c r="M80" i="15" s="1"/>
  <c r="H78" i="15"/>
  <c r="L80" i="15" s="1"/>
  <c r="I70" i="15"/>
  <c r="M70" i="15" s="1"/>
  <c r="H70" i="15"/>
  <c r="I69" i="15"/>
  <c r="H69" i="15"/>
  <c r="L68" i="15"/>
  <c r="I68" i="15"/>
  <c r="M68" i="15" s="1"/>
  <c r="H68" i="15"/>
  <c r="L70" i="15" s="1"/>
  <c r="I60" i="15"/>
  <c r="H60" i="15"/>
  <c r="I59" i="15"/>
  <c r="H59" i="15"/>
  <c r="I58" i="15"/>
  <c r="H58" i="15"/>
  <c r="I57" i="15"/>
  <c r="H57" i="15"/>
  <c r="I56" i="15"/>
  <c r="H56" i="15"/>
  <c r="I55" i="15"/>
  <c r="M57" i="15" s="1"/>
  <c r="H55" i="15"/>
  <c r="I47" i="15"/>
  <c r="H47" i="15"/>
  <c r="I46" i="15"/>
  <c r="H46" i="15"/>
  <c r="I45" i="15"/>
  <c r="H45" i="15"/>
  <c r="I44" i="15"/>
  <c r="H44" i="15"/>
  <c r="I43" i="15"/>
  <c r="H43" i="15"/>
  <c r="I42" i="15"/>
  <c r="H42" i="15"/>
  <c r="I41" i="15"/>
  <c r="H41" i="15"/>
  <c r="I40" i="15"/>
  <c r="M38" i="15" s="1"/>
  <c r="H40" i="15"/>
  <c r="I39" i="15"/>
  <c r="H39" i="15"/>
  <c r="M40" i="15" s="1"/>
  <c r="I38" i="15"/>
  <c r="H38" i="15"/>
  <c r="F29" i="15"/>
  <c r="F28" i="15"/>
  <c r="F27" i="15"/>
  <c r="F26" i="15"/>
  <c r="F25" i="15"/>
  <c r="F24" i="15"/>
  <c r="F23" i="15"/>
  <c r="J19" i="15" s="1"/>
  <c r="J20" i="15" s="1"/>
  <c r="F22" i="15"/>
  <c r="J21" i="15"/>
  <c r="F21" i="15"/>
  <c r="F20" i="15"/>
  <c r="F177" i="14"/>
  <c r="F178" i="14" s="1"/>
  <c r="F176" i="14"/>
  <c r="I167" i="14"/>
  <c r="H167" i="14"/>
  <c r="I166" i="14"/>
  <c r="H166" i="14"/>
  <c r="I165" i="14"/>
  <c r="H165" i="14"/>
  <c r="I164" i="14"/>
  <c r="H164" i="14"/>
  <c r="I163" i="14"/>
  <c r="H163" i="14"/>
  <c r="I162" i="14"/>
  <c r="H162" i="14"/>
  <c r="I161" i="14"/>
  <c r="H161" i="14"/>
  <c r="I160" i="14"/>
  <c r="H160" i="14"/>
  <c r="I159" i="14"/>
  <c r="H159" i="14"/>
  <c r="I158" i="14"/>
  <c r="H158" i="14"/>
  <c r="L158" i="14" s="1"/>
  <c r="L159" i="14" s="1"/>
  <c r="I150" i="14"/>
  <c r="H150" i="14"/>
  <c r="I149" i="14"/>
  <c r="H149" i="14"/>
  <c r="I148" i="14"/>
  <c r="M145" i="14" s="1"/>
  <c r="M146" i="14" s="1"/>
  <c r="H148" i="14"/>
  <c r="I147" i="14"/>
  <c r="H147" i="14"/>
  <c r="I146" i="14"/>
  <c r="H146" i="14"/>
  <c r="I145" i="14"/>
  <c r="H145" i="14"/>
  <c r="L145" i="14" s="1"/>
  <c r="L146" i="14" s="1"/>
  <c r="L138" i="14"/>
  <c r="L137" i="14"/>
  <c r="I137" i="14"/>
  <c r="M136" i="14" s="1"/>
  <c r="M137" i="14" s="1"/>
  <c r="H137" i="14"/>
  <c r="L136" i="14"/>
  <c r="I136" i="14"/>
  <c r="H136" i="14"/>
  <c r="I128" i="14"/>
  <c r="H128" i="14"/>
  <c r="I127" i="14"/>
  <c r="H127" i="14"/>
  <c r="L128" i="14" s="1"/>
  <c r="L126" i="14"/>
  <c r="L127" i="14" s="1"/>
  <c r="I126" i="14"/>
  <c r="M128" i="14" s="1"/>
  <c r="H126" i="14"/>
  <c r="I118" i="14"/>
  <c r="H118" i="14"/>
  <c r="I117" i="14"/>
  <c r="H117" i="14"/>
  <c r="I116" i="14"/>
  <c r="H116" i="14"/>
  <c r="I115" i="14"/>
  <c r="M117" i="14" s="1"/>
  <c r="H115" i="14"/>
  <c r="L117" i="14" s="1"/>
  <c r="I107" i="14"/>
  <c r="H107" i="14"/>
  <c r="I106" i="14"/>
  <c r="H106" i="14"/>
  <c r="I105" i="14"/>
  <c r="H105" i="14"/>
  <c r="I104" i="14"/>
  <c r="H104" i="14"/>
  <c r="I103" i="14"/>
  <c r="M105" i="14" s="1"/>
  <c r="H103" i="14"/>
  <c r="L105" i="14" s="1"/>
  <c r="I95" i="14"/>
  <c r="H95" i="14"/>
  <c r="I94" i="14"/>
  <c r="H94" i="14"/>
  <c r="I93" i="14"/>
  <c r="H93" i="14"/>
  <c r="I92" i="14"/>
  <c r="H92" i="14"/>
  <c r="I91" i="14"/>
  <c r="M93" i="14" s="1"/>
  <c r="H91" i="14"/>
  <c r="L91" i="14" s="1"/>
  <c r="L92" i="14" s="1"/>
  <c r="I83" i="14"/>
  <c r="H83" i="14"/>
  <c r="I82" i="14"/>
  <c r="H82" i="14"/>
  <c r="I81" i="14"/>
  <c r="H81" i="14"/>
  <c r="I80" i="14"/>
  <c r="H80" i="14"/>
  <c r="I79" i="14"/>
  <c r="H79" i="14"/>
  <c r="L80" i="14" s="1"/>
  <c r="L78" i="14"/>
  <c r="L79" i="14" s="1"/>
  <c r="I78" i="14"/>
  <c r="M80" i="14" s="1"/>
  <c r="H78" i="14"/>
  <c r="I70" i="14"/>
  <c r="H70" i="14"/>
  <c r="I69" i="14"/>
  <c r="H69" i="14"/>
  <c r="I68" i="14"/>
  <c r="M70" i="14" s="1"/>
  <c r="H68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41" i="14"/>
  <c r="H41" i="14"/>
  <c r="I40" i="14"/>
  <c r="H40" i="14"/>
  <c r="I39" i="14"/>
  <c r="H39" i="14"/>
  <c r="I38" i="14"/>
  <c r="H38" i="14"/>
  <c r="F29" i="14"/>
  <c r="F28" i="14"/>
  <c r="F27" i="14"/>
  <c r="F26" i="14"/>
  <c r="F25" i="14"/>
  <c r="F24" i="14"/>
  <c r="F23" i="14"/>
  <c r="J21" i="14" s="1"/>
  <c r="F22" i="14"/>
  <c r="F21" i="14"/>
  <c r="F20" i="14"/>
  <c r="F177" i="13"/>
  <c r="F176" i="13"/>
  <c r="I167" i="13"/>
  <c r="H167" i="13"/>
  <c r="I166" i="13"/>
  <c r="H166" i="13"/>
  <c r="I165" i="13"/>
  <c r="H165" i="13"/>
  <c r="I164" i="13"/>
  <c r="H164" i="13"/>
  <c r="I163" i="13"/>
  <c r="H163" i="13"/>
  <c r="I162" i="13"/>
  <c r="H162" i="13"/>
  <c r="I161" i="13"/>
  <c r="H161" i="13"/>
  <c r="I160" i="13"/>
  <c r="H160" i="13"/>
  <c r="I159" i="13"/>
  <c r="H159" i="13"/>
  <c r="I158" i="13"/>
  <c r="H158" i="13"/>
  <c r="L158" i="13" s="1"/>
  <c r="L159" i="13" s="1"/>
  <c r="I150" i="13"/>
  <c r="H150" i="13"/>
  <c r="I149" i="13"/>
  <c r="H149" i="13"/>
  <c r="I148" i="13"/>
  <c r="H148" i="13"/>
  <c r="I147" i="13"/>
  <c r="H147" i="13"/>
  <c r="I146" i="13"/>
  <c r="H146" i="13"/>
  <c r="I145" i="13"/>
  <c r="M145" i="13" s="1"/>
  <c r="M146" i="13" s="1"/>
  <c r="H145" i="13"/>
  <c r="L145" i="13" s="1"/>
  <c r="L146" i="13" s="1"/>
  <c r="L138" i="13"/>
  <c r="M137" i="13"/>
  <c r="I137" i="13"/>
  <c r="H137" i="13"/>
  <c r="M136" i="13"/>
  <c r="L136" i="13"/>
  <c r="L137" i="13" s="1"/>
  <c r="I136" i="13"/>
  <c r="M138" i="13" s="1"/>
  <c r="H136" i="13"/>
  <c r="I128" i="13"/>
  <c r="H128" i="13"/>
  <c r="I127" i="13"/>
  <c r="H127" i="13"/>
  <c r="L128" i="13" s="1"/>
  <c r="M126" i="13"/>
  <c r="M127" i="13" s="1"/>
  <c r="I126" i="13"/>
  <c r="M128" i="13" s="1"/>
  <c r="H126" i="13"/>
  <c r="I118" i="13"/>
  <c r="H118" i="13"/>
  <c r="I117" i="13"/>
  <c r="H117" i="13"/>
  <c r="I116" i="13"/>
  <c r="H116" i="13"/>
  <c r="L115" i="13"/>
  <c r="L116" i="13" s="1"/>
  <c r="I115" i="13"/>
  <c r="M117" i="13" s="1"/>
  <c r="H115" i="13"/>
  <c r="L117" i="13" s="1"/>
  <c r="I107" i="13"/>
  <c r="H107" i="13"/>
  <c r="I106" i="13"/>
  <c r="H106" i="13"/>
  <c r="I105" i="13"/>
  <c r="H105" i="13"/>
  <c r="I104" i="13"/>
  <c r="H104" i="13"/>
  <c r="L103" i="13"/>
  <c r="L104" i="13" s="1"/>
  <c r="I103" i="13"/>
  <c r="M105" i="13" s="1"/>
  <c r="H103" i="13"/>
  <c r="L105" i="13" s="1"/>
  <c r="I95" i="13"/>
  <c r="H95" i="13"/>
  <c r="I94" i="13"/>
  <c r="H94" i="13"/>
  <c r="I93" i="13"/>
  <c r="H93" i="13"/>
  <c r="I92" i="13"/>
  <c r="H92" i="13"/>
  <c r="L91" i="13"/>
  <c r="L92" i="13" s="1"/>
  <c r="I91" i="13"/>
  <c r="M93" i="13" s="1"/>
  <c r="H91" i="13"/>
  <c r="L93" i="13" s="1"/>
  <c r="I83" i="13"/>
  <c r="H83" i="13"/>
  <c r="I82" i="13"/>
  <c r="H82" i="13"/>
  <c r="I81" i="13"/>
  <c r="H81" i="13"/>
  <c r="I80" i="13"/>
  <c r="H80" i="13"/>
  <c r="I79" i="13"/>
  <c r="H79" i="13"/>
  <c r="L80" i="13" s="1"/>
  <c r="M78" i="13"/>
  <c r="M79" i="13" s="1"/>
  <c r="L78" i="13"/>
  <c r="L79" i="13" s="1"/>
  <c r="I78" i="13"/>
  <c r="M80" i="13" s="1"/>
  <c r="H78" i="13"/>
  <c r="I70" i="13"/>
  <c r="H70" i="13"/>
  <c r="I69" i="13"/>
  <c r="H69" i="13"/>
  <c r="I68" i="13"/>
  <c r="M70" i="13" s="1"/>
  <c r="H68" i="13"/>
  <c r="L70" i="13" s="1"/>
  <c r="I60" i="13"/>
  <c r="H60" i="13"/>
  <c r="I59" i="13"/>
  <c r="H59" i="13"/>
  <c r="I58" i="13"/>
  <c r="H58" i="13"/>
  <c r="I57" i="13"/>
  <c r="H57" i="13"/>
  <c r="I56" i="13"/>
  <c r="H56" i="13"/>
  <c r="I55" i="13"/>
  <c r="H55" i="13"/>
  <c r="L57" i="13" s="1"/>
  <c r="I47" i="13"/>
  <c r="H47" i="13"/>
  <c r="I46" i="13"/>
  <c r="H46" i="13"/>
  <c r="I45" i="13"/>
  <c r="H45" i="13"/>
  <c r="I44" i="13"/>
  <c r="H44" i="13"/>
  <c r="I43" i="13"/>
  <c r="H43" i="13"/>
  <c r="I42" i="13"/>
  <c r="H42" i="13"/>
  <c r="I41" i="13"/>
  <c r="H41" i="13"/>
  <c r="I40" i="13"/>
  <c r="H40" i="13"/>
  <c r="L40" i="13" s="1"/>
  <c r="I39" i="13"/>
  <c r="H39" i="13"/>
  <c r="I38" i="13"/>
  <c r="H38" i="13"/>
  <c r="F29" i="13"/>
  <c r="F28" i="13"/>
  <c r="F27" i="13"/>
  <c r="F26" i="13"/>
  <c r="F25" i="13"/>
  <c r="F24" i="13"/>
  <c r="F23" i="13"/>
  <c r="F22" i="13"/>
  <c r="F21" i="13"/>
  <c r="J21" i="13" s="1"/>
  <c r="F20" i="13"/>
  <c r="F177" i="12"/>
  <c r="F178" i="12" s="1"/>
  <c r="F176" i="12"/>
  <c r="I167" i="12"/>
  <c r="H167" i="12"/>
  <c r="I166" i="12"/>
  <c r="H166" i="12"/>
  <c r="I165" i="12"/>
  <c r="H165" i="12"/>
  <c r="I164" i="12"/>
  <c r="H164" i="12"/>
  <c r="I163" i="12"/>
  <c r="H163" i="12"/>
  <c r="L158" i="12" s="1"/>
  <c r="L159" i="12" s="1"/>
  <c r="I162" i="12"/>
  <c r="H162" i="12"/>
  <c r="I161" i="12"/>
  <c r="H161" i="12"/>
  <c r="I160" i="12"/>
  <c r="M158" i="12" s="1"/>
  <c r="H160" i="12"/>
  <c r="I159" i="12"/>
  <c r="H159" i="12"/>
  <c r="I158" i="12"/>
  <c r="H158" i="12"/>
  <c r="I150" i="12"/>
  <c r="H150" i="12"/>
  <c r="L145" i="12" s="1"/>
  <c r="L146" i="12" s="1"/>
  <c r="I149" i="12"/>
  <c r="H149" i="12"/>
  <c r="I148" i="12"/>
  <c r="M145" i="12" s="1"/>
  <c r="M146" i="12" s="1"/>
  <c r="H148" i="12"/>
  <c r="I147" i="12"/>
  <c r="H147" i="12"/>
  <c r="I146" i="12"/>
  <c r="H146" i="12"/>
  <c r="I145" i="12"/>
  <c r="H145" i="12"/>
  <c r="L138" i="12"/>
  <c r="I137" i="12"/>
  <c r="H137" i="12"/>
  <c r="L136" i="12"/>
  <c r="L137" i="12" s="1"/>
  <c r="I136" i="12"/>
  <c r="M136" i="12" s="1"/>
  <c r="M137" i="12" s="1"/>
  <c r="H136" i="12"/>
  <c r="I128" i="12"/>
  <c r="H128" i="12"/>
  <c r="I127" i="12"/>
  <c r="H127" i="12"/>
  <c r="L128" i="12" s="1"/>
  <c r="M126" i="12"/>
  <c r="M127" i="12" s="1"/>
  <c r="I126" i="12"/>
  <c r="M128" i="12" s="1"/>
  <c r="H126" i="12"/>
  <c r="I118" i="12"/>
  <c r="H118" i="12"/>
  <c r="I117" i="12"/>
  <c r="H117" i="12"/>
  <c r="I116" i="12"/>
  <c r="H116" i="12"/>
  <c r="L115" i="12"/>
  <c r="L116" i="12" s="1"/>
  <c r="I115" i="12"/>
  <c r="M117" i="12" s="1"/>
  <c r="H115" i="12"/>
  <c r="L117" i="12" s="1"/>
  <c r="I107" i="12"/>
  <c r="H107" i="12"/>
  <c r="I106" i="12"/>
  <c r="H106" i="12"/>
  <c r="I105" i="12"/>
  <c r="H105" i="12"/>
  <c r="I104" i="12"/>
  <c r="H104" i="12"/>
  <c r="L103" i="12"/>
  <c r="L104" i="12" s="1"/>
  <c r="I103" i="12"/>
  <c r="M105" i="12" s="1"/>
  <c r="H103" i="12"/>
  <c r="L105" i="12" s="1"/>
  <c r="I95" i="12"/>
  <c r="H95" i="12"/>
  <c r="I94" i="12"/>
  <c r="H94" i="12"/>
  <c r="I93" i="12"/>
  <c r="H93" i="12"/>
  <c r="I92" i="12"/>
  <c r="H92" i="12"/>
  <c r="L91" i="12"/>
  <c r="L92" i="12" s="1"/>
  <c r="I91" i="12"/>
  <c r="M93" i="12" s="1"/>
  <c r="H91" i="12"/>
  <c r="L93" i="12" s="1"/>
  <c r="I83" i="12"/>
  <c r="H83" i="12"/>
  <c r="I82" i="12"/>
  <c r="H82" i="12"/>
  <c r="I81" i="12"/>
  <c r="H81" i="12"/>
  <c r="I80" i="12"/>
  <c r="H80" i="12"/>
  <c r="I79" i="12"/>
  <c r="H79" i="12"/>
  <c r="L78" i="12" s="1"/>
  <c r="L79" i="12" s="1"/>
  <c r="M78" i="12"/>
  <c r="M79" i="12" s="1"/>
  <c r="I78" i="12"/>
  <c r="M80" i="12" s="1"/>
  <c r="H78" i="12"/>
  <c r="L80" i="12" s="1"/>
  <c r="M70" i="12"/>
  <c r="I70" i="12"/>
  <c r="H70" i="12"/>
  <c r="I69" i="12"/>
  <c r="H69" i="12"/>
  <c r="I68" i="12"/>
  <c r="M68" i="12" s="1"/>
  <c r="M69" i="12" s="1"/>
  <c r="H68" i="12"/>
  <c r="L70" i="12" s="1"/>
  <c r="I60" i="12"/>
  <c r="H60" i="12"/>
  <c r="I59" i="12"/>
  <c r="H59" i="12"/>
  <c r="I58" i="12"/>
  <c r="H58" i="12"/>
  <c r="L55" i="12" s="1"/>
  <c r="I57" i="12"/>
  <c r="H57" i="12"/>
  <c r="I56" i="12"/>
  <c r="H56" i="12"/>
  <c r="I55" i="12"/>
  <c r="H55" i="12"/>
  <c r="I47" i="12"/>
  <c r="H47" i="12"/>
  <c r="I46" i="12"/>
  <c r="H46" i="12"/>
  <c r="M40" i="12" s="1"/>
  <c r="I45" i="12"/>
  <c r="H45" i="12"/>
  <c r="I44" i="12"/>
  <c r="H44" i="12"/>
  <c r="I43" i="12"/>
  <c r="H43" i="12"/>
  <c r="I42" i="12"/>
  <c r="H42" i="12"/>
  <c r="I41" i="12"/>
  <c r="H41" i="12"/>
  <c r="I40" i="12"/>
  <c r="H40" i="12"/>
  <c r="I39" i="12"/>
  <c r="H39" i="12"/>
  <c r="I38" i="12"/>
  <c r="H38" i="12"/>
  <c r="L38" i="12" s="1"/>
  <c r="F29" i="12"/>
  <c r="F28" i="12"/>
  <c r="F27" i="12"/>
  <c r="F26" i="12"/>
  <c r="F25" i="12"/>
  <c r="F24" i="12"/>
  <c r="F23" i="12"/>
  <c r="F22" i="12"/>
  <c r="F21" i="12"/>
  <c r="J21" i="12" s="1"/>
  <c r="F20" i="12"/>
  <c r="AD23" i="24"/>
  <c r="AD19" i="24"/>
  <c r="AE23" i="24" l="1"/>
  <c r="W17" i="24"/>
  <c r="V17" i="24"/>
  <c r="T16" i="24"/>
  <c r="X16" i="24" s="1"/>
  <c r="AA12" i="24"/>
  <c r="AD20" i="24"/>
  <c r="F178" i="13"/>
  <c r="M69" i="15"/>
  <c r="L69" i="15"/>
  <c r="L70" i="14"/>
  <c r="M39" i="16"/>
  <c r="L39" i="16"/>
  <c r="M39" i="15"/>
  <c r="L40" i="15"/>
  <c r="L38" i="15"/>
  <c r="M38" i="14"/>
  <c r="M39" i="14" s="1"/>
  <c r="M40" i="14"/>
  <c r="L40" i="14"/>
  <c r="L38" i="14"/>
  <c r="M38" i="13"/>
  <c r="M40" i="13"/>
  <c r="L38" i="13"/>
  <c r="M38" i="12"/>
  <c r="L39" i="12"/>
  <c r="M56" i="16"/>
  <c r="L57" i="16"/>
  <c r="M57" i="14"/>
  <c r="L57" i="14"/>
  <c r="M57" i="13"/>
  <c r="M57" i="12"/>
  <c r="L56" i="12"/>
  <c r="L57" i="12"/>
  <c r="L57" i="15"/>
  <c r="M159" i="16"/>
  <c r="M158" i="14"/>
  <c r="M158" i="13"/>
  <c r="M159" i="12"/>
  <c r="M158" i="15"/>
  <c r="M40" i="16"/>
  <c r="M78" i="16"/>
  <c r="M79" i="16" s="1"/>
  <c r="M126" i="16"/>
  <c r="M127" i="16" s="1"/>
  <c r="L55" i="16"/>
  <c r="L91" i="16"/>
  <c r="L92" i="16" s="1"/>
  <c r="L103" i="16"/>
  <c r="L104" i="16" s="1"/>
  <c r="L115" i="16"/>
  <c r="L116" i="16" s="1"/>
  <c r="M115" i="16"/>
  <c r="M116" i="16" s="1"/>
  <c r="L68" i="16"/>
  <c r="L69" i="16" s="1"/>
  <c r="J19" i="16"/>
  <c r="J20" i="16" s="1"/>
  <c r="M78" i="15"/>
  <c r="M79" i="15" s="1"/>
  <c r="M126" i="15"/>
  <c r="M127" i="15" s="1"/>
  <c r="L55" i="15"/>
  <c r="L91" i="15"/>
  <c r="L92" i="15" s="1"/>
  <c r="L103" i="15"/>
  <c r="L104" i="15" s="1"/>
  <c r="L115" i="15"/>
  <c r="L116" i="15" s="1"/>
  <c r="M115" i="15"/>
  <c r="M116" i="15" s="1"/>
  <c r="M55" i="15"/>
  <c r="M78" i="14"/>
  <c r="M79" i="14" s="1"/>
  <c r="M126" i="14"/>
  <c r="M127" i="14" s="1"/>
  <c r="L103" i="14"/>
  <c r="L104" i="14" s="1"/>
  <c r="M55" i="14"/>
  <c r="M115" i="14"/>
  <c r="M116" i="14" s="1"/>
  <c r="M138" i="14"/>
  <c r="L115" i="14"/>
  <c r="L116" i="14" s="1"/>
  <c r="L68" i="14"/>
  <c r="M103" i="14"/>
  <c r="M104" i="14" s="1"/>
  <c r="M68" i="14"/>
  <c r="M91" i="14"/>
  <c r="M92" i="14" s="1"/>
  <c r="L55" i="14"/>
  <c r="L93" i="14"/>
  <c r="J19" i="14"/>
  <c r="J20" i="14" s="1"/>
  <c r="L55" i="13"/>
  <c r="L56" i="13" s="1"/>
  <c r="L126" i="13"/>
  <c r="L127" i="13" s="1"/>
  <c r="M55" i="13"/>
  <c r="M91" i="13"/>
  <c r="M92" i="13" s="1"/>
  <c r="M103" i="13"/>
  <c r="M104" i="13" s="1"/>
  <c r="M115" i="13"/>
  <c r="M116" i="13" s="1"/>
  <c r="L68" i="13"/>
  <c r="M68" i="13"/>
  <c r="J19" i="13"/>
  <c r="J20" i="13" s="1"/>
  <c r="L40" i="12"/>
  <c r="L126" i="12"/>
  <c r="L127" i="12" s="1"/>
  <c r="M55" i="12"/>
  <c r="M115" i="12"/>
  <c r="M116" i="12" s="1"/>
  <c r="M138" i="12"/>
  <c r="M91" i="12"/>
  <c r="M92" i="12" s="1"/>
  <c r="M103" i="12"/>
  <c r="M104" i="12" s="1"/>
  <c r="L68" i="12"/>
  <c r="J19" i="12"/>
  <c r="J20" i="12" s="1"/>
  <c r="F73" i="27" a="1"/>
  <c r="D122" i="33" a="1"/>
  <c r="D36" i="37" a="1"/>
  <c r="S6" i="41" a="1"/>
  <c r="E45" i="36" a="1"/>
  <c r="D16" i="37" a="1"/>
  <c r="E68" i="32" a="1"/>
  <c r="D76" i="33" a="1"/>
  <c r="D51" i="32" a="1"/>
  <c r="E68" i="24" a="1"/>
  <c r="D181" i="28" a="1"/>
  <c r="E71" i="37" a="1"/>
  <c r="E190" i="25" a="1"/>
  <c r="E26" i="37" a="1"/>
  <c r="E142" i="35" a="1"/>
  <c r="F64" i="27" a="1"/>
  <c r="E24" i="31" a="1"/>
  <c r="D149" i="24" a="1"/>
  <c r="E70" i="37" a="1"/>
  <c r="F66" i="27" a="1"/>
  <c r="J39" i="39" a="1"/>
  <c r="D278" i="28" a="1"/>
  <c r="E6" i="36" a="1"/>
  <c r="D47" i="25" a="1"/>
  <c r="D40" i="37" a="1"/>
  <c r="D279" i="28" a="1"/>
  <c r="E191" i="25" a="1"/>
  <c r="E139" i="25" a="1"/>
  <c r="E40" i="32" a="1"/>
  <c r="D98" i="28" a="1"/>
  <c r="E67" i="33" a="1"/>
  <c r="D80" i="32" a="1"/>
  <c r="E155" i="27" a="1"/>
  <c r="E106" i="27" a="1"/>
  <c r="D122" i="28" a="1"/>
  <c r="E143" i="27" a="1"/>
  <c r="D164" i="25" a="1"/>
  <c r="D124" i="35" a="1"/>
  <c r="D8" i="41" a="1"/>
  <c r="E285" i="28" a="1"/>
  <c r="D108" i="25" a="1"/>
  <c r="D61" i="35" a="1"/>
  <c r="E123" i="28" a="1"/>
  <c r="D268" i="28" a="1"/>
  <c r="E78" i="36" a="1"/>
  <c r="E15" i="32" a="1"/>
  <c r="E188" i="24" a="1"/>
  <c r="E38" i="33" a="1"/>
  <c r="D159" i="25" a="1"/>
  <c r="D17" i="31" a="1"/>
  <c r="D147" i="25" a="1"/>
  <c r="E149" i="35" a="1"/>
  <c r="E63" i="32" a="1"/>
  <c r="E168" i="28" a="1"/>
  <c r="D88" i="33" a="1"/>
  <c r="M48" i="39" a="1"/>
  <c r="D188" i="28" a="1"/>
  <c r="E44" i="27" a="1"/>
  <c r="D33" i="32" a="1"/>
  <c r="D63" i="28" a="1"/>
  <c r="D95" i="25" a="1"/>
  <c r="D117" i="36" a="1"/>
  <c r="D91" i="33" a="1"/>
  <c r="E65" i="37" a="1"/>
  <c r="P48" i="39" a="1"/>
  <c r="D130" i="36" a="1"/>
  <c r="E90" i="28" a="1"/>
  <c r="E242" i="24" a="1"/>
  <c r="E6" i="38" a="1"/>
  <c r="M8" i="41" a="1"/>
  <c r="E6" i="31" a="1"/>
  <c r="E256" i="24" a="1"/>
  <c r="D215" i="24" a="1"/>
  <c r="G32" i="39" a="1"/>
  <c r="F68" i="27" a="1"/>
  <c r="D68" i="36" a="1"/>
  <c r="D184" i="24" a="1"/>
  <c r="E147" i="28" a="1"/>
  <c r="E80" i="25" a="1"/>
  <c r="D19" i="33" a="1"/>
  <c r="F75" i="27" a="1"/>
  <c r="E130" i="36" a="1"/>
  <c r="D112" i="28" a="1"/>
  <c r="E282" i="28" a="1"/>
  <c r="E140" i="33" a="1"/>
  <c r="E139" i="27" a="1"/>
  <c r="E185" i="25" a="1"/>
  <c r="D127" i="24" a="1"/>
  <c r="J40" i="39" a="1"/>
  <c r="D8" i="39" a="1"/>
  <c r="D9" i="29" a="1"/>
  <c r="E41" i="27" a="1"/>
  <c r="E8" i="37" a="1"/>
  <c r="E103" i="25" a="1"/>
  <c r="E93" i="36" a="1"/>
  <c r="M40" i="39" a="1"/>
  <c r="E25" i="27" a="1"/>
  <c r="E67" i="37" a="1"/>
  <c r="E15" i="31" a="1"/>
  <c r="D90" i="32" a="1"/>
  <c r="E179" i="28" a="1"/>
  <c r="E86" i="28" a="1"/>
  <c r="F114" i="27" a="1"/>
  <c r="D41" i="36" a="1"/>
  <c r="E157" i="25" a="1"/>
  <c r="D74" i="36" a="1"/>
  <c r="E19" i="39" a="1"/>
  <c r="E80" i="32" a="1"/>
  <c r="D49" i="25" a="1"/>
  <c r="D51" i="36" a="1"/>
  <c r="F129" i="27" a="1"/>
  <c r="J41" i="26" a="1"/>
  <c r="D109" i="28" a="1"/>
  <c r="E127" i="33" a="1"/>
  <c r="D146" i="35" a="1"/>
  <c r="M11" i="41" a="1"/>
  <c r="M23" i="41" a="1"/>
  <c r="D241" i="28" a="1"/>
  <c r="E171" i="27" a="1"/>
  <c r="D136" i="28" a="1"/>
  <c r="D10" i="36" a="1"/>
  <c r="J10" i="41" a="1"/>
  <c r="E6" i="39" a="1"/>
  <c r="D135" i="28" a="1"/>
  <c r="E18" i="38" a="1"/>
  <c r="D62" i="33" a="1"/>
  <c r="G12" i="41" a="1"/>
  <c r="E102" i="28" a="1"/>
  <c r="E290" i="24" a="1"/>
  <c r="E33" i="36" a="1"/>
  <c r="E114" i="33" a="1"/>
  <c r="F154" i="27" a="1"/>
  <c r="D13" i="31" a="1"/>
  <c r="D239" i="28" a="1"/>
  <c r="D73" i="28" a="1"/>
  <c r="E24" i="32" a="1"/>
  <c r="D42" i="39" a="1"/>
  <c r="F67" i="27" a="1"/>
  <c r="E100" i="32" a="1"/>
  <c r="E115" i="36" a="1"/>
  <c r="E174" i="25" a="1"/>
  <c r="E109" i="28" a="1"/>
  <c r="D156" i="24" a="1"/>
  <c r="E167" i="27" a="1"/>
  <c r="E175" i="25" a="1"/>
  <c r="D88" i="36" a="1"/>
  <c r="E12" i="39" a="1"/>
  <c r="D42" i="25" a="1"/>
  <c r="E49" i="37" a="1"/>
  <c r="D205" i="28" a="1"/>
  <c r="E154" i="25" a="1"/>
  <c r="E47" i="32" a="1"/>
  <c r="G16" i="41" a="1"/>
  <c r="D46" i="24" a="1"/>
  <c r="F45" i="27" a="1"/>
  <c r="D46" i="37" a="1"/>
  <c r="D104" i="33" a="1"/>
  <c r="E84" i="28" a="1"/>
  <c r="E11" i="36" a="1"/>
  <c r="D77" i="33" a="1"/>
  <c r="D121" i="33" a="1"/>
  <c r="S4" i="41" a="1"/>
  <c r="D129" i="24" a="1"/>
  <c r="D128" i="28" a="1"/>
  <c r="D60" i="35" a="1"/>
  <c r="F116" i="27" a="1"/>
  <c r="E185" i="24" a="1"/>
  <c r="E65" i="28" a="1"/>
  <c r="E39" i="27" a="1"/>
  <c r="D91" i="35" a="1"/>
  <c r="D33" i="35" a="1"/>
  <c r="D25" i="39" a="1"/>
  <c r="E124" i="25" a="1"/>
  <c r="D42" i="32" a="1"/>
  <c r="D34" i="24" a="1"/>
  <c r="E148" i="24" a="1"/>
  <c r="J43" i="39" a="1"/>
  <c r="E52" i="32" a="1"/>
  <c r="D21" i="26" a="1"/>
  <c r="E61" i="32" a="1"/>
  <c r="F119" i="27" a="1"/>
  <c r="E66" i="36" a="1"/>
  <c r="D20" i="39" a="1"/>
  <c r="D281" i="28" a="1"/>
  <c r="D110" i="28" a="1"/>
  <c r="E36" i="32" a="1"/>
  <c r="S24" i="41" a="1"/>
  <c r="E142" i="28" a="1"/>
  <c r="F21" i="27" a="1"/>
  <c r="E218" i="28" a="1"/>
  <c r="D254" i="28" a="1"/>
  <c r="E15" i="39" a="1"/>
  <c r="D40" i="36" a="1"/>
  <c r="D262" i="24" a="1"/>
  <c r="E129" i="24" a="1"/>
  <c r="E74" i="28" a="1"/>
  <c r="G33" i="26" a="1"/>
  <c r="E19" i="33" a="1"/>
  <c r="D119" i="35" a="1"/>
  <c r="D51" i="24" a="1"/>
  <c r="D22" i="38" a="1"/>
  <c r="D116" i="24" a="1"/>
  <c r="D72" i="35" a="1"/>
  <c r="D25" i="32" a="1"/>
  <c r="E153" i="28" a="1"/>
  <c r="E285" i="24" a="1"/>
  <c r="D72" i="24" a="1"/>
  <c r="D82" i="25" a="1"/>
  <c r="E158" i="35" a="1"/>
  <c r="E90" i="33" a="1"/>
  <c r="D187" i="25" a="1"/>
  <c r="E274" i="28" a="1"/>
  <c r="E51" i="28" a="1"/>
  <c r="E48" i="36" a="1"/>
  <c r="E161" i="28" a="1"/>
  <c r="F50" i="27" a="1"/>
  <c r="D95" i="35" a="1"/>
  <c r="E103" i="32" a="1"/>
  <c r="E214" i="24" a="1"/>
  <c r="E11" i="39" a="1"/>
  <c r="E58" i="28" a="1"/>
  <c r="D72" i="25" a="1"/>
  <c r="D136" i="25" a="1"/>
  <c r="D87" i="35" a="1"/>
  <c r="D21" i="38" a="1"/>
  <c r="D91" i="32" a="1"/>
  <c r="D105" i="24" a="1"/>
  <c r="D11" i="26" a="1"/>
  <c r="E173" i="27" a="1"/>
  <c r="D105" i="36" a="1"/>
  <c r="D219" i="28" a="1"/>
  <c r="D187" i="28" a="1"/>
  <c r="D49" i="39" a="1"/>
  <c r="E170" i="24" a="1"/>
  <c r="D226" i="28" a="1"/>
  <c r="D96" i="28" a="1"/>
  <c r="D120" i="25" a="1"/>
  <c r="D74" i="33" a="1"/>
  <c r="D45" i="24" a="1"/>
  <c r="D114" i="33" a="1"/>
  <c r="D44" i="35" a="1"/>
  <c r="J14" i="41" a="1"/>
  <c r="D10" i="38" a="1"/>
  <c r="D123" i="24" a="1"/>
  <c r="G21" i="41" a="1"/>
  <c r="E15" i="37" a="1"/>
  <c r="E129" i="33" a="1"/>
  <c r="P4" i="41" a="1"/>
  <c r="E258" i="24" a="1"/>
  <c r="D156" i="33" a="1"/>
  <c r="E95" i="32" a="1"/>
  <c r="P40" i="39" a="1"/>
  <c r="D84" i="28" a="1"/>
  <c r="F53" i="27" a="1"/>
  <c r="J33" i="39" a="1"/>
  <c r="F34" i="27" a="1"/>
  <c r="D231" i="28" a="1"/>
  <c r="G41" i="26" a="1"/>
  <c r="D16" i="41" a="1"/>
  <c r="D297" i="24" a="1"/>
  <c r="D249" i="28" a="1"/>
  <c r="D115" i="28" a="1"/>
  <c r="G38" i="39" a="1"/>
  <c r="E118" i="33" a="1"/>
  <c r="E235" i="24" a="1"/>
  <c r="D8" i="38" a="1"/>
  <c r="D282" i="28" a="1"/>
  <c r="M39" i="39" a="1"/>
  <c r="D48" i="35" a="1"/>
  <c r="D96" i="36" a="1"/>
  <c r="E21" i="38" a="1"/>
  <c r="E74" i="24" a="1"/>
  <c r="D96" i="24" a="1"/>
  <c r="D248" i="28" a="1"/>
  <c r="E66" i="28" a="1"/>
  <c r="F102" i="27" a="1"/>
  <c r="D131" i="35" a="1"/>
  <c r="E6" i="37" a="1"/>
  <c r="D153" i="25" a="1"/>
  <c r="D166" i="28" a="1"/>
  <c r="D117" i="28" a="1"/>
  <c r="E250" i="28" a="1"/>
  <c r="D21" i="28" a="1"/>
  <c r="J46" i="39" a="1"/>
  <c r="E94" i="32" a="1"/>
  <c r="M34" i="39" a="1"/>
  <c r="D92" i="33" a="1"/>
  <c r="E142" i="27" a="1"/>
  <c r="D73" i="37" a="1"/>
  <c r="D11" i="38" a="1"/>
  <c r="E46" i="32" a="1"/>
  <c r="E102" i="36" a="1"/>
  <c r="M46" i="39" a="1"/>
  <c r="E25" i="39" a="1"/>
  <c r="D148" i="25" a="1"/>
  <c r="D62" i="28" a="1"/>
  <c r="D60" i="36" a="1"/>
  <c r="D15" i="33" a="1"/>
  <c r="D5" i="31" a="1"/>
  <c r="E223" i="28" a="1"/>
  <c r="D6" i="38" a="1"/>
  <c r="E68" i="25" a="1"/>
  <c r="D206" i="24" a="1"/>
  <c r="E16" i="32" a="1"/>
  <c r="M22" i="41" a="1"/>
  <c r="E74" i="27" a="1"/>
  <c r="E32" i="28" a="1"/>
  <c r="E88" i="33" a="1"/>
  <c r="D95" i="36" a="1"/>
  <c r="D138" i="25" a="1"/>
  <c r="E17" i="37" a="1"/>
  <c r="F138" i="27" a="1"/>
  <c r="E246" i="28" a="1"/>
  <c r="E165" i="25" a="1"/>
  <c r="D114" i="36" a="1"/>
  <c r="D85" i="33" a="1"/>
  <c r="D62" i="37" a="1"/>
  <c r="E73" i="32" a="1"/>
  <c r="P51" i="39" a="1"/>
  <c r="E16" i="38" a="1"/>
  <c r="D155" i="35" a="1"/>
  <c r="D14" i="37" a="1"/>
  <c r="E73" i="36" a="1"/>
  <c r="D68" i="28" a="1"/>
  <c r="D44" i="37" a="1"/>
  <c r="E165" i="28" a="1"/>
  <c r="D121" i="24" a="1"/>
  <c r="E75" i="27" a="1"/>
  <c r="E35" i="36" a="1"/>
  <c r="F93" i="27" a="1"/>
  <c r="E143" i="35" a="1"/>
  <c r="E18" i="36" a="1"/>
  <c r="D79" i="25" a="1"/>
  <c r="D94" i="36" a="1"/>
  <c r="D158" i="33" a="1"/>
  <c r="D213" i="28" a="1"/>
  <c r="D45" i="35" a="1"/>
  <c r="E26" i="36" a="1"/>
  <c r="J34" i="26" a="1"/>
  <c r="D284" i="28" a="1"/>
  <c r="E22" i="39" a="1"/>
  <c r="E67" i="32" a="1"/>
  <c r="E51" i="27" a="1"/>
  <c r="D140" i="33" a="1"/>
  <c r="G35" i="26" a="1"/>
  <c r="F150" i="27" a="1"/>
  <c r="E122" i="24" a="1"/>
  <c r="P32" i="39" a="1"/>
  <c r="G11" i="41" a="1"/>
  <c r="E9" i="39" a="1"/>
  <c r="E144" i="28" a="1"/>
  <c r="E49" i="25" a="1"/>
  <c r="E190" i="28" a="1"/>
  <c r="J35" i="39" a="1"/>
  <c r="D73" i="25" a="1"/>
  <c r="D5" i="38" a="1"/>
  <c r="E263" i="24" a="1"/>
  <c r="D95" i="24" a="1"/>
  <c r="S16" i="41" a="1"/>
  <c r="D48" i="28" a="1"/>
  <c r="D22" i="29" a="1"/>
  <c r="E61" i="27" a="1"/>
  <c r="D192" i="25" a="1"/>
  <c r="D24" i="38" a="1"/>
  <c r="D47" i="37" a="1"/>
  <c r="E254" i="28" a="1"/>
  <c r="E103" i="28" a="1"/>
  <c r="E106" i="32" a="1"/>
  <c r="E153" i="27" a="1"/>
  <c r="E81" i="25" a="1"/>
  <c r="G49" i="39" a="1"/>
  <c r="D144" i="35" a="1"/>
  <c r="E126" i="27" a="1"/>
  <c r="D169" i="24" a="1"/>
  <c r="D94" i="24" a="1"/>
  <c r="E232" i="28" a="1"/>
  <c r="D257" i="24" a="1"/>
  <c r="E287" i="24" a="1"/>
  <c r="F146" i="27" a="1"/>
  <c r="D68" i="37" a="1"/>
  <c r="E51" i="32" a="1"/>
  <c r="D259" i="24" a="1"/>
  <c r="D171" i="28" a="1"/>
  <c r="E77" i="32" a="1"/>
  <c r="D123" i="35" a="1"/>
  <c r="D26" i="26" a="1"/>
  <c r="D176" i="25" a="1"/>
  <c r="D48" i="39" a="1"/>
  <c r="E132" i="27" a="1"/>
  <c r="F157" i="27" a="1"/>
  <c r="D88" i="28" a="1"/>
  <c r="E76" i="33" a="1"/>
  <c r="D17" i="35" a="1"/>
  <c r="D99" i="33" a="1"/>
  <c r="E68" i="27" a="1"/>
  <c r="F44" i="27" a="1"/>
  <c r="D89" i="24" a="1"/>
  <c r="E35" i="32" a="1"/>
  <c r="E215" i="28" a="1"/>
  <c r="E138" i="33" a="1"/>
  <c r="D10" i="37" a="1"/>
  <c r="J34" i="39" a="1"/>
  <c r="E21" i="37" a="1"/>
  <c r="E98" i="28" a="1"/>
  <c r="J37" i="39" a="1"/>
  <c r="D97" i="28" a="1"/>
  <c r="E68" i="28" a="1"/>
  <c r="D104" i="36" a="1"/>
  <c r="E119" i="25" a="1"/>
  <c r="F41" i="27" a="1"/>
  <c r="D46" i="36" a="1"/>
  <c r="D76" i="32" a="1"/>
  <c r="D72" i="36" a="1"/>
  <c r="D43" i="37" a="1"/>
  <c r="E265" i="24" a="1"/>
  <c r="E13" i="39" a="1"/>
  <c r="E46" i="25" a="1"/>
  <c r="E86" i="33" a="1"/>
  <c r="D7" i="36" a="1"/>
  <c r="D16" i="36" a="1"/>
  <c r="D19" i="35" a="1"/>
  <c r="E36" i="33" a="1"/>
  <c r="F141" i="27" a="1"/>
  <c r="D11" i="33" a="1"/>
  <c r="D147" i="28" a="1"/>
  <c r="D98" i="36" a="1"/>
  <c r="G23" i="41" a="1"/>
  <c r="E72" i="25" a="1"/>
  <c r="D50" i="36" a="1"/>
  <c r="E18" i="33" a="1"/>
  <c r="D172" i="28" a="1"/>
  <c r="E41" i="25" a="1"/>
  <c r="D168" i="24" a="1"/>
  <c r="D48" i="36" a="1"/>
  <c r="J36" i="39" a="1"/>
  <c r="D34" i="33" a="1"/>
  <c r="E281" i="28" a="1"/>
  <c r="D250" i="28" a="1"/>
  <c r="E107" i="25" a="1"/>
  <c r="D123" i="36" a="1"/>
  <c r="E87" i="24" a="1"/>
  <c r="E149" i="27" a="1"/>
  <c r="D141" i="33" a="1"/>
  <c r="E97" i="32" a="1"/>
  <c r="D100" i="24" a="1"/>
  <c r="E241" i="24" a="1"/>
  <c r="D236" i="24" a="1"/>
  <c r="D73" i="35" a="1"/>
  <c r="D33" i="24" a="1"/>
  <c r="D275" i="28" a="1"/>
  <c r="E62" i="33" a="1"/>
  <c r="E22" i="33" a="1"/>
  <c r="E79" i="25" a="1"/>
  <c r="E62" i="36" a="1"/>
  <c r="D143" i="35" a="1"/>
  <c r="E132" i="24" a="1"/>
  <c r="D188" i="24" a="1"/>
  <c r="J45" i="26" a="1"/>
  <c r="E25" i="36" a="1"/>
  <c r="E17" i="27" a="1"/>
  <c r="E4" i="31" a="1"/>
  <c r="D116" i="28" a="1"/>
  <c r="J43" i="26" a="1"/>
  <c r="D50" i="39" a="1"/>
  <c r="E95" i="33" a="1"/>
  <c r="E119" i="36" a="1"/>
  <c r="E178" i="28" a="1"/>
  <c r="D145" i="24" a="1"/>
  <c r="E144" i="27" a="1"/>
  <c r="D15" i="35" a="1"/>
  <c r="D21" i="32" a="1"/>
  <c r="D26" i="35" a="1"/>
  <c r="E228" i="28" a="1"/>
  <c r="G52" i="39" a="1"/>
  <c r="E92" i="33" a="1"/>
  <c r="E43" i="33" a="1"/>
  <c r="D20" i="26" a="1"/>
  <c r="E49" i="36" a="1"/>
  <c r="D5" i="28" a="1"/>
  <c r="D115" i="33" a="1"/>
  <c r="G43" i="39" a="1"/>
  <c r="E179" i="27" a="1"/>
  <c r="M16" i="41" a="1"/>
  <c r="D139" i="33" a="1"/>
  <c r="E92" i="27" a="1"/>
  <c r="D225" i="24" a="1"/>
  <c r="E76" i="36" a="1"/>
  <c r="E78" i="32" a="1"/>
  <c r="D41" i="32" a="1"/>
  <c r="M10" i="41" a="1"/>
  <c r="E24" i="37" a="1"/>
  <c r="D77" i="32" a="1"/>
  <c r="D12" i="38" a="1"/>
  <c r="D48" i="33" a="1"/>
  <c r="M17" i="41" a="1"/>
  <c r="D89" i="32" a="1"/>
  <c r="E247" i="28" a="1"/>
  <c r="D52" i="36" a="1"/>
  <c r="E144" i="24" a="1"/>
  <c r="D23" i="38" a="1"/>
  <c r="E137" i="28" a="1"/>
  <c r="E39" i="33" a="1"/>
  <c r="F39" i="27" a="1"/>
  <c r="E65" i="32" a="1"/>
  <c r="D215" i="28" a="1"/>
  <c r="D125" i="25" a="1"/>
  <c r="D141" i="28" a="1"/>
  <c r="D102" i="33" a="1"/>
  <c r="D38" i="28" a="1"/>
  <c r="E118" i="28" a="1"/>
  <c r="E243" i="28" a="1"/>
  <c r="E77" i="33" a="1"/>
  <c r="P44" i="39" a="1"/>
  <c r="F51" i="27" a="1"/>
  <c r="E208" i="24" a="1"/>
  <c r="E111" i="28" a="1"/>
  <c r="P19" i="41" a="1"/>
  <c r="E38" i="28" a="1"/>
  <c r="D250" i="24" a="1"/>
  <c r="D69" i="37" a="1"/>
  <c r="F130" i="27" a="1"/>
  <c r="E176" i="25" a="1"/>
  <c r="E63" i="28" a="1"/>
  <c r="D89" i="28" a="1"/>
  <c r="D132" i="33" a="1"/>
  <c r="D95" i="28" a="1"/>
  <c r="E192" i="28" a="1"/>
  <c r="D44" i="25" a="1"/>
  <c r="D43" i="33" a="1"/>
  <c r="D7" i="41" a="1"/>
  <c r="E169" i="27" a="1"/>
  <c r="D97" i="33" a="1"/>
  <c r="E144" i="35" a="1"/>
  <c r="D154" i="28" a="1"/>
  <c r="F69" i="27" a="1"/>
  <c r="D70" i="25" a="1"/>
  <c r="D20" i="38" a="1"/>
  <c r="E18" i="39" a="1"/>
  <c r="E50" i="28" a="1"/>
  <c r="D20" i="36" a="1"/>
  <c r="E130" i="24" a="1"/>
  <c r="E26" i="33" a="1"/>
  <c r="E112" i="25" a="1"/>
  <c r="D7" i="35" a="1"/>
  <c r="G36" i="26" a="1"/>
  <c r="E92" i="36" a="1"/>
  <c r="M45" i="39" a="1"/>
  <c r="D89" i="36" a="1"/>
  <c r="D156" i="35" a="1"/>
  <c r="D6" i="33" a="1"/>
  <c r="D118" i="24" a="1"/>
  <c r="D105" i="33" a="1"/>
  <c r="D177" i="28" a="1"/>
  <c r="D243" i="28" a="1"/>
  <c r="F139" i="27" a="1"/>
  <c r="D34" i="36" a="1"/>
  <c r="F38" i="27" a="1"/>
  <c r="D103" i="24" a="1"/>
  <c r="D123" i="28" a="1"/>
  <c r="D139" i="35" a="1"/>
  <c r="D25" i="26" a="1"/>
  <c r="D8" i="33" a="1"/>
  <c r="E36" i="28" a="1"/>
  <c r="E60" i="24" a="1"/>
  <c r="M42" i="39" a="1"/>
  <c r="E152" i="24" a="1"/>
  <c r="E198" i="28" a="1"/>
  <c r="D97" i="35" a="1"/>
  <c r="E161" i="25" a="1"/>
  <c r="D152" i="33" a="1"/>
  <c r="E121" i="25" a="1"/>
  <c r="E67" i="27" a="1"/>
  <c r="D144" i="33" a="1"/>
  <c r="D9" i="26" a="1"/>
  <c r="D148" i="33" a="1"/>
  <c r="E45" i="32" a="1"/>
  <c r="D35" i="32" a="1"/>
  <c r="D66" i="36" a="1"/>
  <c r="P37" i="39" a="1"/>
  <c r="D138" i="35" a="1"/>
  <c r="D49" i="28" a="1"/>
  <c r="J19" i="41" a="1"/>
  <c r="D167" i="28" a="1"/>
  <c r="E194" i="28" a="1"/>
  <c r="D74" i="32" a="1"/>
  <c r="E71" i="32" a="1"/>
  <c r="E145" i="35" a="1"/>
  <c r="E178" i="25" a="1"/>
  <c r="F88" i="27" a="1"/>
  <c r="M50" i="39" a="1"/>
  <c r="F74" i="27" a="1"/>
  <c r="D13" i="39" a="1"/>
  <c r="G13" i="41" a="1"/>
  <c r="D11" i="36" a="1"/>
  <c r="F125" i="27" a="1"/>
  <c r="F118" i="27" a="1"/>
  <c r="E64" i="27" a="1"/>
  <c r="E44" i="36" a="1"/>
  <c r="E104" i="25" a="1"/>
  <c r="E120" i="33" a="1"/>
  <c r="E12" i="38" a="1"/>
  <c r="D146" i="24" a="1"/>
  <c r="D10" i="39" a="1"/>
  <c r="E61" i="33" a="1"/>
  <c r="D32" i="36" a="1"/>
  <c r="D109" i="25" a="1"/>
  <c r="E23" i="37" a="1"/>
  <c r="E13" i="31" a="1"/>
  <c r="D20" i="29" a="1"/>
  <c r="E101" i="36" a="1"/>
  <c r="E143" i="33" a="1"/>
  <c r="D179" i="25" a="1"/>
  <c r="E125" i="28" a="1"/>
  <c r="E52" i="27" a="1"/>
  <c r="D290" i="24" a="1"/>
  <c r="D6" i="29" a="1"/>
  <c r="D10" i="33" a="1"/>
  <c r="F77" i="27" a="1"/>
  <c r="E160" i="24" a="1"/>
  <c r="D124" i="25" a="1"/>
  <c r="D50" i="35" a="1"/>
  <c r="E115" i="33" a="1"/>
  <c r="D129" i="28" a="1"/>
  <c r="E131" i="36" a="1"/>
  <c r="E158" i="33" a="1"/>
  <c r="E45" i="33" a="1"/>
  <c r="D22" i="39" a="1"/>
  <c r="F106" i="27" a="1"/>
  <c r="J9" i="41" a="1"/>
  <c r="D4" i="38" a="1"/>
  <c r="D129" i="35" a="1"/>
  <c r="M15" i="41" a="1"/>
  <c r="D23" i="41" a="1"/>
  <c r="D8" i="29" a="1"/>
  <c r="E183" i="25" a="1"/>
  <c r="D131" i="33" a="1"/>
  <c r="D15" i="39" a="1"/>
  <c r="E74" i="37" a="1"/>
  <c r="D143" i="33" a="1"/>
  <c r="E146" i="33" a="1"/>
  <c r="D94" i="28" a="1"/>
  <c r="D106" i="32" a="1"/>
  <c r="D52" i="32" a="1"/>
  <c r="D104" i="32" a="1"/>
  <c r="D130" i="25" a="1"/>
  <c r="D25" i="33" a="1"/>
  <c r="E135" i="25" a="1"/>
  <c r="E136" i="28" a="1"/>
  <c r="D46" i="28" a="1"/>
  <c r="E26" i="27" a="1"/>
  <c r="E57" i="25" a="1"/>
  <c r="D5" i="29" a="1"/>
  <c r="D89" i="33" a="1"/>
  <c r="D23" i="39" a="1"/>
  <c r="E34" i="32" a="1"/>
  <c r="D67" i="33" a="1"/>
  <c r="D264" i="24" a="1"/>
  <c r="E23" i="36" a="1"/>
  <c r="E296" i="24" a="1"/>
  <c r="D125" i="33" a="1"/>
  <c r="E96" i="27" a="1"/>
  <c r="E123" i="24" a="1"/>
  <c r="E187" i="28" a="1"/>
  <c r="E137" i="25" a="1"/>
  <c r="E164" i="28" a="1"/>
  <c r="E11" i="37" a="1"/>
  <c r="F117" i="27" a="1"/>
  <c r="D49" i="37" a="1"/>
  <c r="E162" i="28" a="1"/>
  <c r="E48" i="28" a="1"/>
  <c r="D26" i="33" a="1"/>
  <c r="E96" i="36" a="1"/>
  <c r="E34" i="24" a="1"/>
  <c r="E215" i="24" a="1"/>
  <c r="D77" i="28" a="1"/>
  <c r="E119" i="28" a="1"/>
  <c r="D158" i="25" a="1"/>
  <c r="E147" i="27" a="1"/>
  <c r="E32" i="36" a="1"/>
  <c r="E118" i="24" a="1"/>
  <c r="D97" i="24" a="1"/>
  <c r="G42" i="39" a="1"/>
  <c r="E19" i="28" a="1"/>
  <c r="E37" i="25" a="1"/>
  <c r="E84" i="25" a="1"/>
  <c r="E253" i="28" a="1"/>
  <c r="D101" i="36" a="1"/>
  <c r="D100" i="32" a="1"/>
  <c r="E72" i="36" a="1"/>
  <c r="E20" i="31" a="1"/>
  <c r="D237" i="24" a="1"/>
  <c r="D65" i="24" a="1"/>
  <c r="D63" i="32" a="1"/>
  <c r="E52" i="37" a="1"/>
  <c r="E105" i="32" a="1"/>
  <c r="D12" i="28" a="1"/>
  <c r="E89" i="36" a="1"/>
  <c r="D153" i="35" a="1"/>
  <c r="D120" i="36" a="1"/>
  <c r="E95" i="27" a="1"/>
  <c r="E148" i="28" a="1"/>
  <c r="D19" i="31" a="1"/>
  <c r="F98" i="27" a="1"/>
  <c r="D274" i="28" a="1"/>
  <c r="E69" i="24" a="1"/>
  <c r="E90" i="32" a="1"/>
  <c r="E41" i="33" a="1"/>
  <c r="D48" i="26" a="1"/>
  <c r="E155" i="33" a="1"/>
  <c r="D120" i="28" a="1"/>
  <c r="D132" i="25" a="1"/>
  <c r="F43" i="27" a="1"/>
  <c r="E20" i="33" a="1"/>
  <c r="D77" i="25" a="1"/>
  <c r="D142" i="33" a="1"/>
  <c r="D79" i="32" a="1"/>
  <c r="D155" i="33" a="1"/>
  <c r="E8" i="36" a="1"/>
  <c r="E78" i="27" a="1"/>
  <c r="D140" i="35" a="1"/>
  <c r="G10" i="41" a="1"/>
  <c r="D43" i="25" a="1"/>
  <c r="E180" i="25" a="1"/>
  <c r="E47" i="25" a="1"/>
  <c r="D78" i="35" a="1"/>
  <c r="E45" i="28" a="1"/>
  <c r="E9" i="38" a="1"/>
  <c r="E207" i="28" a="1"/>
  <c r="E131" i="27" a="1"/>
  <c r="E106" i="25" a="1"/>
  <c r="E69" i="36" a="1"/>
  <c r="F60" i="27" a="1"/>
  <c r="D17" i="29" a="1"/>
  <c r="M7" i="41" a="1"/>
  <c r="E124" i="33" a="1"/>
  <c r="E86" i="36" a="1"/>
  <c r="F70" i="27" a="1"/>
  <c r="E178" i="27" a="1"/>
  <c r="D46" i="26" a="1"/>
  <c r="E8" i="38" a="1"/>
  <c r="E43" i="32" a="1"/>
  <c r="E98" i="27" a="1"/>
  <c r="D78" i="36" a="1"/>
  <c r="M6" i="41" a="1"/>
  <c r="E43" i="36" a="1"/>
  <c r="F158" i="27" a="1"/>
  <c r="D62" i="36" a="1"/>
  <c r="E151" i="24" a="1"/>
  <c r="G40" i="39" a="1"/>
  <c r="E105" i="27" a="1"/>
  <c r="D61" i="33" a="1"/>
  <c r="D151" i="35" a="1"/>
  <c r="E113" i="36" a="1"/>
  <c r="E42" i="36" a="1"/>
  <c r="D15" i="31" a="1"/>
  <c r="E99" i="25" a="1"/>
  <c r="G19" i="41" a="1"/>
  <c r="D48" i="24" a="1"/>
  <c r="E74" i="33" a="1"/>
  <c r="P23" i="41" a="1"/>
  <c r="E114" i="28" a="1"/>
  <c r="D86" i="32" a="1"/>
  <c r="D60" i="28" a="1"/>
  <c r="D23" i="26" a="1"/>
  <c r="D47" i="39" a="1"/>
  <c r="D165" i="25" a="1"/>
  <c r="D170" i="28" a="1"/>
  <c r="D41" i="25" a="1"/>
  <c r="E128" i="36" a="1"/>
  <c r="E93" i="33" a="1"/>
  <c r="F36" i="27" a="1"/>
  <c r="D127" i="33" a="1"/>
  <c r="D222" i="28" a="1"/>
  <c r="D93" i="25" a="1"/>
  <c r="D128" i="24" a="1"/>
  <c r="F124" i="27" a="1"/>
  <c r="E116" i="27" a="1"/>
  <c r="E118" i="27" a="1"/>
  <c r="M9" i="41" a="1"/>
  <c r="D92" i="36" a="1"/>
  <c r="E104" i="36" a="1"/>
  <c r="F112" i="27" a="1"/>
  <c r="E78" i="24" a="1"/>
  <c r="E110" i="28" a="1"/>
  <c r="D88" i="32" a="1"/>
  <c r="E73" i="24" a="1"/>
  <c r="D40" i="32" a="1"/>
  <c r="D104" i="35" a="1"/>
  <c r="E40" i="28" a="1"/>
  <c r="J36" i="26" a="1"/>
  <c r="D22" i="41" a="1"/>
  <c r="D245" i="28" a="1"/>
  <c r="E94" i="25" a="1"/>
  <c r="D43" i="28" a="1"/>
  <c r="E102" i="25" a="1"/>
  <c r="E258" i="28" a="1"/>
  <c r="E101" i="33" a="1"/>
  <c r="D36" i="33" a="1"/>
  <c r="D170" i="24" a="1"/>
  <c r="D105" i="25" a="1"/>
  <c r="P35" i="39" a="1"/>
  <c r="E34" i="33" a="1"/>
  <c r="E266" i="24" a="1"/>
  <c r="D7" i="33" a="1"/>
  <c r="E69" i="28" a="1"/>
  <c r="D259" i="28" a="1"/>
  <c r="D47" i="24" a="1"/>
  <c r="J42" i="26" a="1"/>
  <c r="E158" i="27" a="1"/>
  <c r="D41" i="37" a="1"/>
  <c r="E149" i="25" a="1"/>
  <c r="D182" i="25" a="1"/>
  <c r="E101" i="27" a="1"/>
  <c r="D19" i="36" a="1"/>
  <c r="E22" i="31" a="1"/>
  <c r="E64" i="24" a="1"/>
  <c r="D230" i="28" a="1"/>
  <c r="M33" i="39" a="1"/>
  <c r="E147" i="33" a="1"/>
  <c r="E42" i="27" a="1"/>
  <c r="D113" i="24" a="1"/>
  <c r="D240" i="24" a="1"/>
  <c r="D13" i="36" a="1"/>
  <c r="D153" i="33" a="1"/>
  <c r="D246" i="28" a="1"/>
  <c r="D173" i="28" a="1"/>
  <c r="D103" i="35" a="1"/>
  <c r="D148" i="24" a="1"/>
  <c r="D111" i="28" a="1"/>
  <c r="D88" i="24" a="1"/>
  <c r="E139" i="28" a="1"/>
  <c r="E33" i="32" a="1"/>
  <c r="E206" i="24" a="1"/>
  <c r="E68" i="37" a="1"/>
  <c r="D124" i="33" a="1"/>
  <c r="D9" i="38" a="1"/>
  <c r="D13" i="37" a="1"/>
  <c r="D70" i="28" a="1"/>
  <c r="E77" i="27" a="1"/>
  <c r="D102" i="24" a="1"/>
  <c r="E77" i="24" a="1"/>
  <c r="E248" i="28" a="1"/>
  <c r="D7" i="39" a="1"/>
  <c r="E14" i="37" a="1"/>
  <c r="D131" i="25" a="1"/>
  <c r="E87" i="28" a="1"/>
  <c r="D20" i="33" a="1"/>
  <c r="D67" i="35" a="1"/>
  <c r="E78" i="33" a="1"/>
  <c r="E70" i="28" a="1"/>
  <c r="E170" i="28" a="1"/>
  <c r="D113" i="33" a="1"/>
  <c r="D225" i="28" a="1"/>
  <c r="P43" i="39" a="1"/>
  <c r="E201" i="28" a="1"/>
  <c r="D65" i="32" a="1"/>
  <c r="E152" i="35" a="1"/>
  <c r="D80" i="25" a="1"/>
  <c r="D68" i="32" a="1"/>
  <c r="D11" i="31" a="1"/>
  <c r="E26" i="32" a="1"/>
  <c r="E35" i="28" a="1"/>
  <c r="E21" i="32" a="1"/>
  <c r="E152" i="27" a="1"/>
  <c r="D280" i="28" a="1"/>
  <c r="J38" i="39" a="1"/>
  <c r="D118" i="35" a="1"/>
  <c r="D162" i="28" a="1"/>
  <c r="D18" i="37" a="1"/>
  <c r="E116" i="28" a="1"/>
  <c r="D258" i="24" a="1"/>
  <c r="D177" i="25" a="1"/>
  <c r="E16" i="39" a="1"/>
  <c r="F61" i="27" a="1"/>
  <c r="D51" i="35" a="1"/>
  <c r="E98" i="33" a="1"/>
  <c r="D159" i="24" a="1"/>
  <c r="E20" i="36" a="1"/>
  <c r="M44" i="39" a="1"/>
  <c r="D67" i="32" a="1"/>
  <c r="J7" i="41" a="1"/>
  <c r="D148" i="35" a="1"/>
  <c r="D211" i="24" a="1"/>
  <c r="E104" i="33" a="1"/>
  <c r="E188" i="28" a="1"/>
  <c r="F143" i="27" a="1"/>
  <c r="D128" i="35" a="1"/>
  <c r="E223" i="24" a="1"/>
  <c r="D10" i="26" a="1"/>
  <c r="D298" i="24" a="1"/>
  <c r="D249" i="24" a="1"/>
  <c r="E51" i="36" a="1"/>
  <c r="E92" i="28" a="1"/>
  <c r="D94" i="32" a="1"/>
  <c r="E37" i="32" a="1"/>
  <c r="D48" i="37" a="1"/>
  <c r="E204" i="28" a="1"/>
  <c r="D73" i="36" a="1"/>
  <c r="E150" i="28" a="1"/>
  <c r="F72" i="27" a="1"/>
  <c r="E64" i="36" a="1"/>
  <c r="D150" i="25" a="1"/>
  <c r="E191" i="28" a="1"/>
  <c r="E103" i="27" a="1"/>
  <c r="D231" i="24" a="1"/>
  <c r="S23" i="41" a="1"/>
  <c r="E79" i="36" a="1"/>
  <c r="D39" i="32" a="1"/>
  <c r="D41" i="35" a="1"/>
  <c r="E172" i="27" a="1"/>
  <c r="E60" i="36" a="1"/>
  <c r="G31" i="26" a="1"/>
  <c r="E168" i="24" a="1"/>
  <c r="M32" i="39" a="1"/>
  <c r="D39" i="35" a="1"/>
  <c r="D6" i="39" a="1"/>
  <c r="D34" i="32" a="1"/>
  <c r="D44" i="28" a="1"/>
  <c r="E6" i="33" a="1"/>
  <c r="D90" i="36" a="1"/>
  <c r="D8" i="35" a="1"/>
  <c r="D94" i="35" a="1"/>
  <c r="E286" i="24" a="1"/>
  <c r="E9" i="37" a="1"/>
  <c r="D111" i="25" a="1"/>
  <c r="D101" i="28" a="1"/>
  <c r="D42" i="36" a="1"/>
  <c r="D63" i="36" a="1"/>
  <c r="D87" i="36" a="1"/>
  <c r="G15" i="41" a="1"/>
  <c r="D87" i="28" a="1"/>
  <c r="D77" i="35" a="1"/>
  <c r="D71" i="32" a="1"/>
  <c r="F153" i="27" a="1"/>
  <c r="E71" i="24" a="1"/>
  <c r="P18" i="41" a="1"/>
  <c r="D11" i="37" a="1"/>
  <c r="D104" i="24" a="1"/>
  <c r="D151" i="33" a="1"/>
  <c r="E152" i="25" a="1"/>
  <c r="D40" i="26" a="1"/>
  <c r="D74" i="25" a="1"/>
  <c r="E145" i="24" a="1"/>
  <c r="E131" i="25" a="1"/>
  <c r="D42" i="24" a="1"/>
  <c r="E103" i="36" a="1"/>
  <c r="D60" i="32" a="1"/>
  <c r="D22" i="35" a="1"/>
  <c r="D64" i="35" a="1"/>
  <c r="E40" i="27" a="1"/>
  <c r="E220" i="28" a="1"/>
  <c r="E17" i="31" a="1"/>
  <c r="E87" i="32" a="1"/>
  <c r="E112" i="36" a="1"/>
  <c r="D132" i="36" a="1"/>
  <c r="D21" i="31" a="1"/>
  <c r="M47" i="39" a="1"/>
  <c r="D9" i="33" a="1"/>
  <c r="E117" i="36" a="1"/>
  <c r="E75" i="24" a="1"/>
  <c r="D96" i="35" a="1"/>
  <c r="D40" i="35" a="1"/>
  <c r="D131" i="36" a="1"/>
  <c r="E105" i="36" a="1"/>
  <c r="D10" i="29" a="1"/>
  <c r="D104" i="25" a="1"/>
  <c r="D154" i="35" a="1"/>
  <c r="D76" i="37" a="1"/>
  <c r="E25" i="33" a="1"/>
  <c r="G8" i="41" a="1"/>
  <c r="E141" i="33" a="1"/>
  <c r="E70" i="32" a="1"/>
  <c r="S10" i="41" a="1"/>
  <c r="F95" i="27" a="1"/>
  <c r="E130" i="27" a="1"/>
  <c r="D40" i="28" a="1"/>
  <c r="E147" i="35" a="1"/>
  <c r="D32" i="39" a="1"/>
  <c r="D71" i="36" a="1"/>
  <c r="E69" i="27" a="1"/>
  <c r="E122" i="28" a="1"/>
  <c r="D206" i="28" a="1"/>
  <c r="P6" i="41" a="1"/>
  <c r="P21" i="41" a="1"/>
  <c r="E165" i="27" a="1"/>
  <c r="F80" i="27" a="1"/>
  <c r="D151" i="28" a="1"/>
  <c r="D71" i="37" a="1"/>
  <c r="D33" i="39" a="1"/>
  <c r="E202" i="28" a="1"/>
  <c r="D128" i="33" a="1"/>
  <c r="D238" i="24" a="1"/>
  <c r="E252" i="28" a="1"/>
  <c r="E176" i="27" a="1"/>
  <c r="E118" i="36" a="1"/>
  <c r="E62" i="37" a="1"/>
  <c r="E105" i="33" a="1"/>
  <c r="J45" i="39" a="1"/>
  <c r="D191" i="25" a="1"/>
  <c r="D88" i="35" a="1"/>
  <c r="F103" i="27" a="1"/>
  <c r="D8" i="26" a="1"/>
  <c r="G39" i="39" a="1"/>
  <c r="E60" i="28" a="1"/>
  <c r="P42" i="39" a="1"/>
  <c r="D14" i="39" a="1"/>
  <c r="D45" i="37" a="1"/>
  <c r="D229" i="24" a="1"/>
  <c r="E164" i="27" a="1"/>
  <c r="D119" i="33" a="1"/>
  <c r="M5" i="41" a="1"/>
  <c r="E53" i="27" a="1"/>
  <c r="D50" i="37" a="1"/>
  <c r="E76" i="27" a="1"/>
  <c r="D6" i="31" a="1"/>
  <c r="D57" i="28" a="1"/>
  <c r="E262" i="24" a="1"/>
  <c r="E17" i="33" a="1"/>
  <c r="E138" i="28" a="1"/>
  <c r="E13" i="32" a="1"/>
  <c r="E193" i="28" a="1"/>
  <c r="F86" i="27" a="1"/>
  <c r="D121" i="35" a="1"/>
  <c r="D180" i="25" a="1"/>
  <c r="D92" i="28" a="1"/>
  <c r="E94" i="27" a="1"/>
  <c r="E13" i="36" a="1"/>
  <c r="E77" i="25" a="1"/>
  <c r="D157" i="24" a="1"/>
  <c r="D220" i="28" a="1"/>
  <c r="E173" i="24" a="1"/>
  <c r="D50" i="28" a="1"/>
  <c r="P15" i="41" a="1"/>
  <c r="E117" i="24" a="1"/>
  <c r="E39" i="32" a="1"/>
  <c r="E41" i="37" a="1"/>
  <c r="E125" i="36" a="1"/>
  <c r="D202" i="28" a="1"/>
  <c r="E150" i="27" a="1"/>
  <c r="E180" i="27" a="1"/>
  <c r="E36" i="37" a="1"/>
  <c r="D72" i="37" a="1"/>
  <c r="E184" i="25" a="1"/>
  <c r="E44" i="32" a="1"/>
  <c r="D38" i="24" a="1"/>
  <c r="D12" i="41" a="1"/>
  <c r="M43" i="39" a="1"/>
  <c r="E170" i="27" a="1"/>
  <c r="E156" i="25" a="1"/>
  <c r="D176" i="28" a="1"/>
  <c r="D61" i="28" a="1"/>
  <c r="E39" i="37" a="1"/>
  <c r="E7" i="39" a="1"/>
  <c r="D69" i="33" a="1"/>
  <c r="D164" i="28" a="1"/>
  <c r="G45" i="39" a="1"/>
  <c r="E97" i="24" a="1"/>
  <c r="E51" i="24" a="1"/>
  <c r="F148" i="27" a="1"/>
  <c r="E230" i="24" a="1"/>
  <c r="E216" i="28" a="1"/>
  <c r="D216" i="28" a="1"/>
  <c r="D39" i="36" a="1"/>
  <c r="G24" i="41" a="1"/>
  <c r="J44" i="26" a="1"/>
  <c r="E111" i="25" a="1"/>
  <c r="E116" i="36" a="1"/>
  <c r="D39" i="39" a="1"/>
  <c r="G4" i="41" a="1"/>
  <c r="D9" i="31" a="1"/>
  <c r="D34" i="35" a="1"/>
  <c r="E60" i="27" a="1"/>
  <c r="F131" i="27" a="1"/>
  <c r="E140" i="27" a="1"/>
  <c r="D51" i="37" a="1"/>
  <c r="E147" i="24" a="1"/>
  <c r="D20" i="32" a="1"/>
  <c r="D117" i="33" a="1"/>
  <c r="D6" i="36" a="1"/>
  <c r="D22" i="26" a="1"/>
  <c r="D9" i="36" a="1"/>
  <c r="D200" i="28" a="1"/>
  <c r="D221" i="28" a="1"/>
  <c r="D24" i="31" a="1"/>
  <c r="G14" i="41" a="1"/>
  <c r="E50" i="36" a="1"/>
  <c r="D18" i="29" a="1"/>
  <c r="F151" i="27" a="1"/>
  <c r="D67" i="24" a="1"/>
  <c r="D268" i="24" a="1"/>
  <c r="G33" i="39" a="1"/>
  <c r="E297" i="24" a="1"/>
  <c r="P7" i="41" a="1"/>
  <c r="S21" i="41" a="1"/>
  <c r="E67" i="25" a="1"/>
  <c r="F99" i="27" a="1"/>
  <c r="D146" i="28" a="1"/>
  <c r="D57" i="25" a="1"/>
  <c r="D50" i="25" a="1"/>
  <c r="E78" i="25" a="1"/>
  <c r="D193" i="28" a="1"/>
  <c r="E148" i="27" a="1"/>
  <c r="E39" i="28" a="1"/>
  <c r="E59" i="33" a="1"/>
  <c r="E136" i="25" a="1"/>
  <c r="D192" i="28" a="1"/>
  <c r="D121" i="25" a="1"/>
  <c r="D265" i="24" a="1"/>
  <c r="D40" i="25" a="1"/>
  <c r="D123" i="33" a="1"/>
  <c r="D12" i="31" a="1"/>
  <c r="D6" i="35" a="1"/>
  <c r="E128" i="33" a="1"/>
  <c r="E112" i="24" a="1"/>
  <c r="D260" i="24" a="1"/>
  <c r="E283" i="28" a="1"/>
  <c r="D77" i="24" a="1"/>
  <c r="D127" i="36" a="1"/>
  <c r="M18" i="41" a="1"/>
  <c r="P39" i="39" a="1"/>
  <c r="E120" i="36" a="1"/>
  <c r="E123" i="33" a="1"/>
  <c r="D47" i="26" a="1"/>
  <c r="S9" i="41" a="1"/>
  <c r="D217" i="28" a="1"/>
  <c r="D50" i="24" a="1"/>
  <c r="J46" i="26" a="1"/>
  <c r="D116" i="33" a="1"/>
  <c r="E12" i="37" a="1"/>
  <c r="P47" i="39" a="1"/>
  <c r="D99" i="35" a="1"/>
  <c r="D276" i="28" a="1"/>
  <c r="D66" i="35" a="1"/>
  <c r="D44" i="26" a="1"/>
  <c r="D254" i="24" a="1"/>
  <c r="E113" i="24" a="1"/>
  <c r="D12" i="37" a="1"/>
  <c r="P52" i="39" a="1"/>
  <c r="D252" i="28" a="1"/>
  <c r="D227" i="24" a="1"/>
  <c r="E150" i="33" a="1"/>
  <c r="E66" i="32" a="1"/>
  <c r="D242" i="24" a="1"/>
  <c r="E93" i="27" a="1"/>
  <c r="E17" i="39" a="1"/>
  <c r="E88" i="36" a="1"/>
  <c r="E69" i="32" a="1"/>
  <c r="E212" i="24" a="1"/>
  <c r="D63" i="33" a="1"/>
  <c r="D64" i="36" a="1"/>
  <c r="M51" i="39" a="1"/>
  <c r="E129" i="27" a="1"/>
  <c r="D293" i="24" a="1"/>
  <c r="D15" i="38" a="1"/>
  <c r="E35" i="24" a="1"/>
  <c r="E72" i="32" a="1"/>
  <c r="D8" i="37" a="1"/>
  <c r="D85" i="35" a="1"/>
  <c r="D36" i="32" a="1"/>
  <c r="E292" i="24" a="1"/>
  <c r="J51" i="26" a="1"/>
  <c r="J22" i="41" a="1"/>
  <c r="D122" i="36" a="1"/>
  <c r="D119" i="28" a="1"/>
  <c r="D75" i="35" a="1"/>
  <c r="D18" i="36" a="1"/>
  <c r="E51" i="25" a="1"/>
  <c r="D23" i="29" a="1"/>
  <c r="E121" i="24" a="1"/>
  <c r="E128" i="28" a="1"/>
  <c r="D197" i="28" a="1"/>
  <c r="E124" i="27" a="1"/>
  <c r="E148" i="35" a="1"/>
  <c r="D91" i="24" a="1"/>
  <c r="D99" i="25" a="1"/>
  <c r="E108" i="25" a="1"/>
  <c r="D125" i="24" a="1"/>
  <c r="E146" i="35" a="1"/>
  <c r="G18" i="41" a="1"/>
  <c r="D67" i="36" a="1"/>
  <c r="F140" i="27" a="1"/>
  <c r="D277" i="28" a="1"/>
  <c r="E57" i="28" a="1"/>
  <c r="E4" i="38" a="1"/>
  <c r="E241" i="28" a="1"/>
  <c r="E99" i="32" a="1"/>
  <c r="G7" i="41" a="1"/>
  <c r="D99" i="28" a="1"/>
  <c r="S11" i="41" a="1"/>
  <c r="D185" i="25" a="1"/>
  <c r="E37" i="28" a="1"/>
  <c r="E79" i="37" a="1"/>
  <c r="D21" i="41" a="1"/>
  <c r="D100" i="36" a="1"/>
  <c r="M13" i="41" a="1"/>
  <c r="J50" i="26" a="1"/>
  <c r="D66" i="32" a="1"/>
  <c r="D16" i="29" a="1"/>
  <c r="J35" i="26" a="1"/>
  <c r="E53" i="32" a="1"/>
  <c r="E276" i="28" a="1"/>
  <c r="D247" i="28" a="1"/>
  <c r="G17" i="41" a="1"/>
  <c r="E60" i="33" a="1"/>
  <c r="E36" i="36" a="1"/>
  <c r="D98" i="25" a="1"/>
  <c r="E115" i="28" a="1"/>
  <c r="D13" i="26" a="1"/>
  <c r="E100" i="33" a="1"/>
  <c r="D86" i="33" a="1"/>
  <c r="D112" i="33" a="1"/>
  <c r="E71" i="28" a="1"/>
  <c r="D19" i="29" a="1"/>
  <c r="D68" i="25" a="1"/>
  <c r="E91" i="36" a="1"/>
  <c r="D161" i="28" a="1"/>
  <c r="D118" i="33" a="1"/>
  <c r="D23" i="37" a="1"/>
  <c r="E187" i="24" a="1"/>
  <c r="D76" i="24" a="1"/>
  <c r="F35" i="27" a="1"/>
  <c r="E239" i="28" a="1"/>
  <c r="D65" i="28" a="1"/>
  <c r="E22" i="27" a="1"/>
  <c r="E153" i="35" a="1"/>
  <c r="F96" i="27" a="1"/>
  <c r="D127" i="35" a="1"/>
  <c r="D72" i="32" a="1"/>
  <c r="D36" i="28" a="1"/>
  <c r="E22" i="37" a="1"/>
  <c r="E122" i="33" a="1"/>
  <c r="E94" i="28" a="1"/>
  <c r="E149" i="28" a="1"/>
  <c r="S17" i="41" a="1"/>
  <c r="D152" i="28" a="1"/>
  <c r="E117" i="27" a="1"/>
  <c r="E33" i="33" a="1"/>
  <c r="E56" i="25" a="1"/>
  <c r="E167" i="28" a="1"/>
  <c r="E153" i="33" a="1"/>
  <c r="D74" i="37" a="1"/>
  <c r="D150" i="35" a="1"/>
  <c r="E124" i="28" a="1"/>
  <c r="D117" i="35" a="1"/>
  <c r="D35" i="28" a="1"/>
  <c r="E126" i="24" a="1"/>
  <c r="E31" i="28" a="1"/>
  <c r="F46" i="27" a="1"/>
  <c r="J42" i="39" a="1"/>
  <c r="M38" i="39" a="1"/>
  <c r="G51" i="39" a="1"/>
  <c r="D135" i="25" a="1"/>
  <c r="J49" i="39" a="1"/>
  <c r="G47" i="26" a="1"/>
  <c r="E38" i="24" a="1"/>
  <c r="D69" i="24" a="1"/>
  <c r="D20" i="41" a="1"/>
  <c r="D152" i="35" a="1"/>
  <c r="E126" i="25" a="1"/>
  <c r="E192" i="25" a="1"/>
  <c r="D17" i="26" a="1"/>
  <c r="S19" i="41" a="1"/>
  <c r="D102" i="28" a="1"/>
  <c r="J16" i="41" a="1"/>
  <c r="D51" i="28" a="1"/>
  <c r="D38" i="39" a="1"/>
  <c r="E114" i="27" a="1"/>
  <c r="E259" i="28" a="1"/>
  <c r="E224" i="28" a="1"/>
  <c r="E95" i="24" a="1"/>
  <c r="D167" i="25" a="1"/>
  <c r="F40" i="27" a="1"/>
  <c r="D255" i="24" a="1"/>
  <c r="E24" i="33" a="1"/>
  <c r="D59" i="28" a="1"/>
  <c r="E62" i="32" a="1"/>
  <c r="D232" i="28" a="1"/>
  <c r="D113" i="36" a="1"/>
  <c r="E33" i="37" a="1"/>
  <c r="E61" i="28" a="1"/>
  <c r="D118" i="28" a="1"/>
  <c r="E85" i="33" a="1"/>
  <c r="D179" i="24" a="1"/>
  <c r="D24" i="39" a="1"/>
  <c r="E151" i="35" a="1"/>
  <c r="D61" i="36" a="1"/>
  <c r="E90" i="36" a="1"/>
  <c r="E213" i="24" a="1"/>
  <c r="D53" i="32" a="1"/>
  <c r="E24" i="28" a="1"/>
  <c r="D35" i="33" a="1"/>
  <c r="D180" i="24" a="1"/>
  <c r="E42" i="28" a="1"/>
  <c r="D39" i="26" a="1"/>
  <c r="E267" i="28" a="1"/>
  <c r="E62" i="27" a="1"/>
  <c r="D103" i="25" a="1"/>
  <c r="D52" i="35" a="1"/>
  <c r="E100" i="28" a="1"/>
  <c r="E65" i="27" a="1"/>
  <c r="E146" i="28" a="1"/>
  <c r="D269" i="28" a="1"/>
  <c r="E255" i="28" a="1"/>
  <c r="P41" i="39" a="1"/>
  <c r="E181" i="27" a="1"/>
  <c r="D25" i="36" a="1"/>
  <c r="D9" i="37" a="1"/>
  <c r="D6" i="37" a="1"/>
  <c r="D90" i="35" a="1"/>
  <c r="E277" i="28" a="1"/>
  <c r="P45" i="39" a="1"/>
  <c r="D214" i="28" a="1"/>
  <c r="D118" i="36" a="1"/>
  <c r="D26" i="39" a="1"/>
  <c r="E47" i="27" a="1"/>
  <c r="D8" i="31" a="1"/>
  <c r="D100" i="33" a="1"/>
  <c r="D38" i="25" a="1"/>
  <c r="D5" i="41" a="1"/>
  <c r="F100" i="27" a="1"/>
  <c r="E101" i="28" a="1"/>
  <c r="D45" i="36" a="1"/>
  <c r="F33" i="27" a="1"/>
  <c r="P24" i="41" a="1"/>
  <c r="E23" i="27" a="1"/>
  <c r="D31" i="26" a="1"/>
  <c r="D161" i="25" a="1"/>
  <c r="D68" i="35" a="1"/>
  <c r="E113" i="33" a="1"/>
  <c r="P34" i="39" a="1"/>
  <c r="D77" i="37" a="1"/>
  <c r="E59" i="24" a="1"/>
  <c r="E156" i="33" a="1"/>
  <c r="G36" i="39" a="1"/>
  <c r="D20" i="31" a="1"/>
  <c r="E145" i="33" a="1"/>
  <c r="D295" i="24" a="1"/>
  <c r="D97" i="25" a="1"/>
  <c r="P49" i="39" a="1"/>
  <c r="D65" i="36" a="1"/>
  <c r="E65" i="36" a="1"/>
  <c r="D228" i="28" a="1"/>
  <c r="E186" i="25" a="1"/>
  <c r="M19" i="41" a="1"/>
  <c r="E75" i="36" a="1"/>
  <c r="D89" i="35" a="1"/>
  <c r="D33" i="28" a="1"/>
  <c r="D13" i="41" a="1"/>
  <c r="E129" i="25" a="1"/>
  <c r="E89" i="27" a="1"/>
  <c r="E69" i="25" a="1"/>
  <c r="D17" i="33" a="1"/>
  <c r="D204" i="28" a="1"/>
  <c r="E157" i="35" a="1"/>
  <c r="D42" i="26" a="1"/>
  <c r="D101" i="32" a="1"/>
  <c r="E40" i="33" a="1"/>
  <c r="D21" i="36" a="1"/>
  <c r="E155" i="28" a="1"/>
  <c r="E69" i="37" a="1"/>
  <c r="E89" i="24" a="1"/>
  <c r="D16" i="33" a="1"/>
  <c r="E42" i="33" a="1"/>
  <c r="E101" i="32" a="1"/>
  <c r="D115" i="36" a="1"/>
  <c r="E53" i="25" a="1"/>
  <c r="E298" i="24" a="1"/>
  <c r="E99" i="36" a="1"/>
  <c r="D150" i="28" a="1"/>
  <c r="J32" i="26" a="1"/>
  <c r="G38" i="26" a="1"/>
  <c r="E73" i="37" a="1"/>
  <c r="E282" i="24" a="1"/>
  <c r="E109" i="25" a="1"/>
  <c r="E236" i="24" a="1"/>
  <c r="D19" i="28" a="1"/>
  <c r="E19" i="32" a="1"/>
  <c r="E34" i="28" a="1"/>
  <c r="E22" i="28" a="1"/>
  <c r="E179" i="24" a="1"/>
  <c r="E71" i="25" a="1"/>
  <c r="D223" i="24" a="1"/>
  <c r="E24" i="38" a="1"/>
  <c r="E166" i="27" a="1"/>
  <c r="D163" i="28" a="1"/>
  <c r="E46" i="37" a="1"/>
  <c r="F79" i="27" a="1"/>
  <c r="D23" i="33" a="1"/>
  <c r="D52" i="39" a="1"/>
  <c r="D43" i="36" a="1"/>
  <c r="D256" i="24" a="1"/>
  <c r="D70" i="36" a="1"/>
  <c r="D25" i="35" a="1"/>
  <c r="D252" i="24" a="1"/>
  <c r="F22" i="27" a="1"/>
  <c r="D149" i="25" a="1"/>
  <c r="D120" i="24" a="1"/>
  <c r="D47" i="32" a="1"/>
  <c r="D64" i="24" a="1"/>
  <c r="D98" i="35" a="1"/>
  <c r="D151" i="24" a="1"/>
  <c r="E162" i="25" a="1"/>
  <c r="D145" i="35" a="1"/>
  <c r="D73" i="33" a="1"/>
  <c r="D176" i="24" a="1"/>
  <c r="D120" i="35" a="1"/>
  <c r="D45" i="33" a="1"/>
  <c r="E279" i="24" a="1"/>
  <c r="E55" i="25" a="1"/>
  <c r="M14" i="41" a="1"/>
  <c r="E15" i="38" a="1"/>
  <c r="E154" i="35" a="1"/>
  <c r="G46" i="26" a="1"/>
  <c r="D24" i="29" a="1"/>
  <c r="E124" i="24" a="1"/>
  <c r="E33" i="27" a="1"/>
  <c r="D60" i="33" a="1"/>
  <c r="E22" i="32" a="1"/>
  <c r="D35" i="36" a="1"/>
  <c r="D285" i="24" a="1"/>
  <c r="E37" i="27" a="1"/>
  <c r="F145" i="27" a="1"/>
  <c r="D130" i="24" a="1"/>
  <c r="E39" i="24" a="1"/>
  <c r="D228" i="24" a="1"/>
  <c r="E268" i="24" a="1"/>
  <c r="D157" i="35" a="1"/>
  <c r="D92" i="25" a="1"/>
  <c r="E279" i="28" a="1"/>
  <c r="F26" i="27" a="1"/>
  <c r="D70" i="33" a="1"/>
  <c r="D144" i="24" a="1"/>
  <c r="E7" i="36" a="1"/>
  <c r="E43" i="28" a="1"/>
  <c r="E10" i="37" a="1"/>
  <c r="D257" i="28" a="1"/>
  <c r="D183" i="25" a="1"/>
  <c r="F126" i="27" a="1"/>
  <c r="D281" i="24" a="1"/>
  <c r="E96" i="25" a="1"/>
  <c r="E140" i="28" a="1"/>
  <c r="S15" i="41" a="1"/>
  <c r="E155" i="25" a="1"/>
  <c r="F144" i="27" a="1"/>
  <c r="E80" i="27" a="1"/>
  <c r="D133" i="25" a="1"/>
  <c r="D17" i="41" a="1"/>
  <c r="E175" i="24" a="1"/>
  <c r="D75" i="24" a="1"/>
  <c r="D106" i="25" a="1"/>
  <c r="S7" i="41" a="1"/>
  <c r="E133" i="25" a="1"/>
  <c r="E166" i="25" a="1"/>
  <c r="D101" i="33" a="1"/>
  <c r="D46" i="35" a="1"/>
  <c r="D198" i="28" a="1"/>
  <c r="D50" i="33" a="1"/>
  <c r="E64" i="33" a="1"/>
  <c r="E238" i="24" a="1"/>
  <c r="D59" i="24" a="1"/>
  <c r="D128" i="25" a="1"/>
  <c r="D79" i="33" a="1"/>
  <c r="F15" i="27" a="1"/>
  <c r="D173" i="24" a="1"/>
  <c r="D139" i="28" a="1"/>
  <c r="F132" i="27" a="1"/>
  <c r="D64" i="28" a="1"/>
  <c r="D66" i="37" a="1"/>
  <c r="D130" i="35" a="1"/>
  <c r="D115" i="35" a="1"/>
  <c r="D278" i="24" a="1"/>
  <c r="D25" i="28" a="1"/>
  <c r="D201" i="28" a="1"/>
  <c r="D19" i="37" a="1"/>
  <c r="D154" i="25" a="1"/>
  <c r="D43" i="26" a="1"/>
  <c r="E149" i="33" a="1"/>
  <c r="E19" i="38" a="1"/>
  <c r="E32" i="37" a="1"/>
  <c r="D24" i="36" a="1"/>
  <c r="D7" i="29" a="1"/>
  <c r="D43" i="32" a="1"/>
  <c r="D160" i="24" a="1"/>
  <c r="D38" i="37" a="1"/>
  <c r="D90" i="28" a="1"/>
  <c r="D138" i="33" a="1"/>
  <c r="E259" i="24" a="1"/>
  <c r="E145" i="28" a="1"/>
  <c r="D14" i="41" a="1"/>
  <c r="E83" i="25" a="1"/>
  <c r="E96" i="32" a="1"/>
  <c r="D181" i="24" a="1"/>
  <c r="E228" i="24" a="1"/>
  <c r="E269" i="24" a="1"/>
  <c r="D7" i="38" a="1"/>
  <c r="D129" i="33" a="1"/>
  <c r="E95" i="25" a="1"/>
  <c r="D93" i="36" a="1"/>
  <c r="D78" i="32" a="1"/>
  <c r="E37" i="37" a="1"/>
  <c r="D150" i="33" a="1"/>
  <c r="D214" i="24" a="1"/>
  <c r="D66" i="33" a="1"/>
  <c r="E196" i="28" a="1"/>
  <c r="D36" i="36" a="1"/>
  <c r="E153" i="25" a="1"/>
  <c r="E231" i="24" a="1"/>
  <c r="P36" i="39" a="1"/>
  <c r="D131" i="24" a="1"/>
  <c r="E47" i="37" a="1"/>
  <c r="D58" i="28" a="1"/>
  <c r="E66" i="24" a="1"/>
  <c r="D99" i="36" a="1"/>
  <c r="E47" i="33" a="1"/>
  <c r="E209" i="24" a="1"/>
  <c r="E151" i="25" a="1"/>
  <c r="E59" i="37" a="1"/>
  <c r="D224" i="28" a="1"/>
  <c r="E128" i="27" a="1"/>
  <c r="D51" i="26" a="1"/>
  <c r="P16" i="41" a="1"/>
  <c r="E20" i="38" a="1"/>
  <c r="D143" i="24" a="1"/>
  <c r="D253" i="24" a="1"/>
  <c r="D91" i="28" a="1"/>
  <c r="M20" i="41" a="1"/>
  <c r="D130" i="33" a="1"/>
  <c r="D42" i="28" a="1"/>
  <c r="F101" i="27" a="1"/>
  <c r="E115" i="27" a="1"/>
  <c r="D210" i="24" a="1"/>
  <c r="D149" i="28" a="1"/>
  <c r="D39" i="37" a="1"/>
  <c r="E64" i="37" a="1"/>
  <c r="E85" i="25" a="1"/>
  <c r="E77" i="36" a="1"/>
  <c r="D156" i="25" a="1"/>
  <c r="E271" i="28" a="1"/>
  <c r="E119" i="27" a="1"/>
  <c r="D239" i="24" a="1"/>
  <c r="J20" i="41" a="1"/>
  <c r="E176" i="24" a="1"/>
  <c r="E278" i="28" a="1"/>
  <c r="D11" i="39" a="1"/>
  <c r="E194" i="25" a="1"/>
  <c r="E16" i="27" a="1"/>
  <c r="D47" i="35" a="1"/>
  <c r="E96" i="24" a="1"/>
  <c r="E234" i="24" a="1"/>
  <c r="D32" i="33" a="1"/>
  <c r="D16" i="38" a="1"/>
  <c r="D37" i="36" a="1"/>
  <c r="E225" i="24" a="1"/>
  <c r="D137" i="28" a="1"/>
  <c r="D83" i="28" a="1"/>
  <c r="D102" i="32" a="1"/>
  <c r="D14" i="38" a="1"/>
  <c r="G34" i="39" a="1"/>
  <c r="E102" i="27" a="1"/>
  <c r="E41" i="24" a="1"/>
  <c r="D79" i="37" a="1"/>
  <c r="E49" i="33" a="1"/>
  <c r="D114" i="24" a="1"/>
  <c r="D7" i="37" a="1"/>
  <c r="D95" i="33" a="1"/>
  <c r="D165" i="28" a="1"/>
  <c r="D140" i="28" a="1"/>
  <c r="D38" i="33" a="1"/>
  <c r="E113" i="27" a="1"/>
  <c r="D45" i="25" a="1"/>
  <c r="D61" i="37" a="1"/>
  <c r="D46" i="33" a="1"/>
  <c r="E8" i="33" a="1"/>
  <c r="D86" i="36" a="1"/>
  <c r="E22" i="38" a="1"/>
  <c r="E122" i="25" a="1"/>
  <c r="E20" i="39" a="1"/>
  <c r="F87" i="27" a="1"/>
  <c r="E117" i="33" a="1"/>
  <c r="D22" i="32" a="1"/>
  <c r="D38" i="36" a="1"/>
  <c r="D283" i="24" a="1"/>
  <c r="D10" i="35" a="1"/>
  <c r="E150" i="25" a="1"/>
  <c r="E249" i="28" a="1"/>
  <c r="E13" i="33" a="1"/>
  <c r="D124" i="36" a="1"/>
  <c r="E47" i="24" a="1"/>
  <c r="D39" i="28" a="1"/>
  <c r="E15" i="33" a="1"/>
  <c r="E13" i="38" a="1"/>
  <c r="D69" i="36" a="1"/>
  <c r="E189" i="28" a="1"/>
  <c r="E45" i="27" a="1"/>
  <c r="D121" i="36" a="1"/>
  <c r="E219" i="28" a="1"/>
  <c r="D63" i="24" a="1"/>
  <c r="E206" i="28" a="1"/>
  <c r="D78" i="33" a="1"/>
  <c r="D9" i="35" a="1"/>
  <c r="D153" i="28" a="1"/>
  <c r="D7" i="31" a="1"/>
  <c r="D98" i="33" a="1"/>
  <c r="E146" i="27" a="1"/>
  <c r="D83" i="25" a="1"/>
  <c r="E112" i="33" a="1"/>
  <c r="D78" i="24" a="1"/>
  <c r="D223" i="28" a="1"/>
  <c r="D16" i="26" a="1"/>
  <c r="E49" i="27" a="1"/>
  <c r="D40" i="24" a="1"/>
  <c r="E181" i="28" a="1"/>
  <c r="E281" i="24" a="1"/>
  <c r="S20" i="41" a="1"/>
  <c r="D33" i="36" a="1"/>
  <c r="E132" i="33" a="1"/>
  <c r="E115" i="24" a="1"/>
  <c r="D151" i="25" a="1"/>
  <c r="E46" i="28" a="1"/>
  <c r="D13" i="29" a="1"/>
  <c r="E88" i="24" a="1"/>
  <c r="D87" i="33" a="1"/>
  <c r="D147" i="24" a="1"/>
  <c r="D218" i="28" a="1"/>
  <c r="E135" i="28" a="1"/>
  <c r="D85" i="36" a="1"/>
  <c r="D45" i="28" a="1"/>
  <c r="J33" i="26" a="1"/>
  <c r="E98" i="32" a="1"/>
  <c r="E264" i="24" a="1"/>
  <c r="E121" i="36" a="1"/>
  <c r="D24" i="35" a="1"/>
  <c r="E16" i="36" a="1"/>
  <c r="D62" i="24" a="1"/>
  <c r="D50" i="26" a="1"/>
  <c r="D73" i="24" a="1"/>
  <c r="E159" i="24" a="1"/>
  <c r="E141" i="24" a="1"/>
  <c r="F97" i="27" a="1"/>
  <c r="E70" i="36" a="1"/>
  <c r="E8" i="31" a="1"/>
  <c r="E88" i="27" a="1"/>
  <c r="E148" i="25" a="1"/>
  <c r="D233" i="28" a="1"/>
  <c r="D61" i="32" a="1"/>
  <c r="D226" i="24" a="1"/>
  <c r="J39" i="26" a="1"/>
  <c r="D63" i="35" a="1"/>
  <c r="E244" i="28" a="1"/>
  <c r="D178" i="24" a="1"/>
  <c r="D94" i="33" a="1"/>
  <c r="E233" i="24" a="1"/>
  <c r="D38" i="35" a="1"/>
  <c r="E217" i="28" a="1"/>
  <c r="D46" i="39" a="1"/>
  <c r="G44" i="26" a="1"/>
  <c r="D20" i="28" a="1"/>
  <c r="E37" i="36" a="1"/>
  <c r="E87" i="36" a="1"/>
  <c r="G20" i="41" a="1"/>
  <c r="E221" i="28" a="1"/>
  <c r="E154" i="33" a="1"/>
  <c r="E50" i="25" a="1"/>
  <c r="E156" i="27" a="1"/>
  <c r="D11" i="35" a="1"/>
  <c r="E11" i="33" a="1"/>
  <c r="D79" i="35" a="1"/>
  <c r="D93" i="35" a="1"/>
  <c r="P11" i="41" a="1"/>
  <c r="D18" i="41" a="1"/>
  <c r="F122" i="27" a="1"/>
  <c r="E117" i="28" a="1"/>
  <c r="E203" i="28" a="1"/>
  <c r="F24" i="27" a="1"/>
  <c r="E132" i="36" a="1"/>
  <c r="E112" i="28" a="1"/>
  <c r="D100" i="35" a="1"/>
  <c r="E79" i="33" a="1"/>
  <c r="D18" i="31" a="1"/>
  <c r="G35" i="39" a="1"/>
  <c r="J5" i="41" a="1"/>
  <c r="D19" i="32" a="1"/>
  <c r="E114" i="24" a="1"/>
  <c r="D182" i="24" a="1"/>
  <c r="E77" i="28" a="1"/>
  <c r="D113" i="28" a="1"/>
  <c r="D126" i="36" a="1"/>
  <c r="E20" i="28" a="1"/>
  <c r="E59" i="28" a="1"/>
  <c r="D40" i="39" a="1"/>
  <c r="D125" i="28" a="1"/>
  <c r="E120" i="27" a="1"/>
  <c r="E26" i="39" a="1"/>
  <c r="E140" i="35" a="1"/>
  <c r="D37" i="26" a="1"/>
  <c r="D22" i="37" a="1"/>
  <c r="E71" i="33" a="1"/>
  <c r="F42" i="27" a="1"/>
  <c r="E103" i="33" a="1"/>
  <c r="D120" i="33" a="1"/>
  <c r="D9" i="41" a="1"/>
  <c r="E105" i="25" a="1"/>
  <c r="D122" i="24" a="1"/>
  <c r="E21" i="28" a="1"/>
  <c r="E19" i="36" a="1"/>
  <c r="E79" i="27" a="1"/>
  <c r="D74" i="28" a="1"/>
  <c r="D46" i="32" a="1"/>
  <c r="D285" i="28" a="1"/>
  <c r="E251" i="28" a="1"/>
  <c r="E181" i="24" a="1"/>
  <c r="E171" i="24" a="1"/>
  <c r="D19" i="39" a="1"/>
  <c r="D37" i="33" a="1"/>
  <c r="D105" i="32" a="1"/>
  <c r="E177" i="25" a="1"/>
  <c r="D69" i="35" a="1"/>
  <c r="E36" i="24" a="1"/>
  <c r="D244" i="28" a="1"/>
  <c r="E91" i="32" a="1"/>
  <c r="D16" i="31" a="1"/>
  <c r="D16" i="39" a="1"/>
  <c r="E169" i="24" a="1"/>
  <c r="E105" i="24" a="1"/>
  <c r="S5" i="41" a="1"/>
  <c r="E251" i="24" a="1"/>
  <c r="E63" i="27" a="1"/>
  <c r="D168" i="28" a="1"/>
  <c r="E254" i="24" a="1"/>
  <c r="D70" i="24" a="1"/>
  <c r="E130" i="25" a="1"/>
  <c r="E210" i="24" a="1"/>
  <c r="E125" i="33" a="1"/>
  <c r="E18" i="28" a="1"/>
  <c r="E25" i="32" a="1"/>
  <c r="E177" i="27" a="1"/>
  <c r="J4" i="41" a="1"/>
  <c r="F127" i="27" a="1"/>
  <c r="D77" i="36" a="1"/>
  <c r="E52" i="24" a="1"/>
  <c r="E49" i="28" a="1"/>
  <c r="E157" i="24" a="1"/>
  <c r="E227" i="24" a="1"/>
  <c r="F76" i="27" a="1"/>
  <c r="E200" i="28" a="1"/>
  <c r="D129" i="36" a="1"/>
  <c r="D69" i="25" a="1"/>
  <c r="E230" i="28" a="1"/>
  <c r="D67" i="28" a="1"/>
  <c r="D35" i="35" a="1"/>
  <c r="E72" i="28" a="1"/>
  <c r="J37" i="26" a="1"/>
  <c r="E280" i="24" a="1"/>
  <c r="E76" i="37" a="1"/>
  <c r="D37" i="32" a="1"/>
  <c r="D157" i="25" a="1"/>
  <c r="E121" i="33" a="1"/>
  <c r="D119" i="25" a="1"/>
  <c r="D147" i="35" a="1"/>
  <c r="D15" i="26" a="1"/>
  <c r="E36" i="27" a="1"/>
  <c r="D256" i="28" a="1"/>
  <c r="D12" i="29" a="1"/>
  <c r="J51" i="39" a="1"/>
  <c r="D207" i="24" a="1"/>
  <c r="D15" i="28" a="1"/>
  <c r="D32" i="37" a="1"/>
  <c r="D84" i="25" a="1"/>
  <c r="D72" i="28" a="1"/>
  <c r="F128" i="27" a="1"/>
  <c r="E233" i="28" a="1"/>
  <c r="D26" i="32" a="1"/>
  <c r="J6" i="41" a="1"/>
  <c r="J41" i="39" a="1"/>
  <c r="E93" i="32" a="1"/>
  <c r="E113" i="28" a="1"/>
  <c r="E99" i="28" a="1"/>
  <c r="E16" i="37" a="1"/>
  <c r="E147" i="25" a="1"/>
  <c r="E75" i="28" a="1"/>
  <c r="D132" i="24" a="1"/>
  <c r="E23" i="32" a="1"/>
  <c r="D36" i="39" a="1"/>
  <c r="E125" i="24" a="1"/>
  <c r="D179" i="28" a="1"/>
  <c r="D93" i="32" a="1"/>
  <c r="E58" i="24" a="1"/>
  <c r="E76" i="28" a="1"/>
  <c r="E69" i="33" a="1"/>
  <c r="E278" i="24" a="1"/>
  <c r="E20" i="32" a="1"/>
  <c r="E10" i="39" a="1"/>
  <c r="E9" i="33" a="1"/>
  <c r="D37" i="25" a="1"/>
  <c r="D90" i="24" a="1"/>
  <c r="D18" i="26" a="1"/>
  <c r="D199" i="28" a="1"/>
  <c r="D39" i="25" a="1"/>
  <c r="E97" i="36" a="1"/>
  <c r="E142" i="33" a="1"/>
  <c r="D126" i="33" a="1"/>
  <c r="D222" i="24" a="1"/>
  <c r="E288" i="24" a="1"/>
  <c r="D126" i="28" a="1"/>
  <c r="E63" i="24" a="1"/>
  <c r="D148" i="28" a="1"/>
  <c r="D64" i="32" a="1"/>
  <c r="D21" i="35" a="1"/>
  <c r="D183" i="24" a="1"/>
  <c r="D153" i="24" a="1"/>
  <c r="M21" i="41" a="1"/>
  <c r="D175" i="28" a="1"/>
  <c r="E54" i="25" a="1"/>
  <c r="D42" i="33" a="1"/>
  <c r="F25" i="27" a="1"/>
  <c r="D160" i="25" a="1"/>
  <c r="E127" i="28" a="1"/>
  <c r="D51" i="25" a="1"/>
  <c r="D101" i="35" a="1"/>
  <c r="E289" i="24" a="1"/>
  <c r="E52" i="25" a="1"/>
  <c r="E273" i="28" a="1"/>
  <c r="F47" i="27" a="1"/>
  <c r="E45" i="24" a="1"/>
  <c r="D271" i="28" a="1"/>
  <c r="D265" i="28" a="1"/>
  <c r="D41" i="28" a="1"/>
  <c r="D103" i="33" a="1"/>
  <c r="E93" i="28" a="1"/>
  <c r="E158" i="24" a="1"/>
  <c r="F49" i="27" a="1"/>
  <c r="D75" i="33" a="1"/>
  <c r="E174" i="27" a="1"/>
  <c r="F63" i="27" a="1"/>
  <c r="E34" i="27" a="1"/>
  <c r="E280" i="28" a="1"/>
  <c r="D283" i="28" a="1"/>
  <c r="E120" i="25" a="1"/>
  <c r="D258" i="28" a="1"/>
  <c r="D75" i="25" a="1"/>
  <c r="F91" i="27" a="1"/>
  <c r="F115" i="27" a="1"/>
  <c r="D92" i="35" a="1"/>
  <c r="P10" i="41" a="1"/>
  <c r="D125" i="36" a="1"/>
  <c r="D112" i="24" a="1"/>
  <c r="E48" i="37" a="1"/>
  <c r="D21" i="29" a="1"/>
  <c r="E48" i="33" a="1"/>
  <c r="D230" i="24" a="1"/>
  <c r="D45" i="32" a="1"/>
  <c r="E154" i="24" a="1"/>
  <c r="D128" i="36" a="1"/>
  <c r="D85" i="28" a="1"/>
  <c r="P17" i="41" a="1"/>
  <c r="D105" i="35" a="1"/>
  <c r="E62" i="28" a="1"/>
  <c r="E157" i="27" a="1"/>
  <c r="D227" i="28" a="1"/>
  <c r="D32" i="26" a="1"/>
  <c r="E172" i="24" a="1"/>
  <c r="E270" i="28" a="1"/>
  <c r="D38" i="26" a="1"/>
  <c r="D93" i="28" a="1"/>
  <c r="E156" i="24" a="1"/>
  <c r="D194" i="28" a="1"/>
  <c r="E99" i="33" a="1"/>
  <c r="E51" i="33" a="1"/>
  <c r="E40" i="37" a="1"/>
  <c r="D71" i="25" a="1"/>
  <c r="D65" i="37" a="1"/>
  <c r="E15" i="36" a="1"/>
  <c r="F123" i="27" a="1"/>
  <c r="E91" i="24" a="1"/>
  <c r="E50" i="32" a="1"/>
  <c r="E74" i="36" a="1"/>
  <c r="E88" i="28" a="1"/>
  <c r="E129" i="28" a="1"/>
  <c r="E50" i="27" a="1"/>
  <c r="E38" i="37" a="1"/>
  <c r="E284" i="28" a="1"/>
  <c r="D14" i="35" a="1"/>
  <c r="E122" i="36" a="1"/>
  <c r="D116" i="36" a="1"/>
  <c r="J17" i="41" a="1"/>
  <c r="D137" i="25" a="1"/>
  <c r="E25" i="37" a="1"/>
  <c r="D66" i="25" a="1"/>
  <c r="D12" i="39" a="1"/>
  <c r="G40" i="26" a="1"/>
  <c r="E46" i="33" a="1"/>
  <c r="D17" i="36" a="1"/>
  <c r="P20" i="41" a="1"/>
  <c r="D34" i="39" a="1"/>
  <c r="E70" i="27" a="1"/>
  <c r="S12" i="41" a="1"/>
  <c r="E148" i="33" a="1"/>
  <c r="D32" i="24" a="1"/>
  <c r="D4" i="41" a="1"/>
  <c r="D78" i="25" a="1"/>
  <c r="D46" i="25" a="1"/>
  <c r="D24" i="28" a="1"/>
  <c r="D255" i="28" a="1"/>
  <c r="D272" i="28" a="1"/>
  <c r="E50" i="24" a="1"/>
  <c r="F20" i="27" a="1"/>
  <c r="D62" i="32" a="1"/>
  <c r="J31" i="26" a="1"/>
  <c r="D14" i="36" a="1"/>
  <c r="E183" i="24" a="1"/>
  <c r="D126" i="25" a="1"/>
  <c r="D194" i="25" a="1"/>
  <c r="E65" i="24" a="1"/>
  <c r="E159" i="25" a="1"/>
  <c r="P8" i="41" a="1"/>
  <c r="E83" i="28" a="1"/>
  <c r="E32" i="24" a="1"/>
  <c r="E226" i="28" a="1"/>
  <c r="D90" i="33" a="1"/>
  <c r="E21" i="39" a="1"/>
  <c r="D13" i="38" a="1"/>
  <c r="D261" i="24" a="1"/>
  <c r="E101" i="25" a="1"/>
  <c r="E85" i="28" a="1"/>
  <c r="E59" i="36" a="1"/>
  <c r="E43" i="27" a="1"/>
  <c r="E283" i="24" a="1"/>
  <c r="J24" i="41" a="1"/>
  <c r="D163" i="25" a="1"/>
  <c r="D175" i="24" a="1"/>
  <c r="D16" i="35" a="1"/>
  <c r="D112" i="35" a="1"/>
  <c r="D9" i="39" a="1"/>
  <c r="E150" i="35" a="1"/>
  <c r="D119" i="24" a="1"/>
  <c r="D129" i="25" a="1"/>
  <c r="P50" i="39" a="1"/>
  <c r="E182" i="27" a="1"/>
  <c r="E132" i="25" a="1"/>
  <c r="D76" i="25" a="1"/>
  <c r="D74" i="24" a="1"/>
  <c r="D102" i="25" a="1"/>
  <c r="E101" i="24" a="1"/>
  <c r="D98" i="32" a="1"/>
  <c r="E7" i="38" a="1"/>
  <c r="E103" i="24" a="1"/>
  <c r="E10" i="31" a="1"/>
  <c r="J47" i="26" a="1"/>
  <c r="E189" i="25" a="1"/>
  <c r="E180" i="28" a="1"/>
  <c r="E139" i="35" a="1"/>
  <c r="J38" i="26" a="1"/>
  <c r="D229" i="28" a="1"/>
  <c r="E41" i="36" a="1"/>
  <c r="E37" i="33" a="1"/>
  <c r="D34" i="26" a="1"/>
  <c r="S13" i="41" a="1"/>
  <c r="G37" i="39" a="1"/>
  <c r="E267" i="24" a="1"/>
  <c r="E42" i="37" a="1"/>
  <c r="E151" i="27" a="1"/>
  <c r="E67" i="28" a="1"/>
  <c r="E72" i="27" a="1"/>
  <c r="E138" i="25" a="1"/>
  <c r="D52" i="25" a="1"/>
  <c r="E93" i="24" a="1"/>
  <c r="E79" i="32" a="1"/>
  <c r="E75" i="33" a="1"/>
  <c r="D15" i="36" a="1"/>
  <c r="D185" i="24" a="1"/>
  <c r="E92" i="24" a="1"/>
  <c r="D18" i="38" a="1"/>
  <c r="D110" i="25" a="1"/>
  <c r="E50" i="33" a="1"/>
  <c r="E75" i="25" a="1"/>
  <c r="D291" i="24" a="1"/>
  <c r="E134" i="25" a="1"/>
  <c r="E151" i="33" a="1"/>
  <c r="D96" i="25" a="1"/>
  <c r="D85" i="25" a="1"/>
  <c r="D31" i="28" a="1"/>
  <c r="D99" i="24" a="1"/>
  <c r="D86" i="28" a="1"/>
  <c r="D66" i="24" a="1"/>
  <c r="D75" i="32" a="1"/>
  <c r="D76" i="36" a="1"/>
  <c r="D145" i="28" a="1"/>
  <c r="D107" i="25" a="1"/>
  <c r="E7" i="33" a="1"/>
  <c r="D44" i="33" a="1"/>
  <c r="E87" i="33" a="1"/>
  <c r="D36" i="35" a="1"/>
  <c r="E229" i="28" a="1"/>
  <c r="E66" i="33" a="1"/>
  <c r="E172" i="28" a="1"/>
  <c r="G45" i="26" a="1"/>
  <c r="E46" i="27" a="1"/>
  <c r="E252" i="24" a="1"/>
  <c r="E104" i="27" a="1"/>
  <c r="E193" i="25" a="1"/>
  <c r="E16" i="33" a="1"/>
  <c r="E70" i="24" a="1"/>
  <c r="E182" i="25" a="1"/>
  <c r="E100" i="25" a="1"/>
  <c r="D69" i="32" a="1"/>
  <c r="E93" i="25" a="1"/>
  <c r="D149" i="35" a="1"/>
  <c r="E184" i="27" a="1"/>
  <c r="F147" i="27" a="1"/>
  <c r="D119" i="36" a="1"/>
  <c r="E65" i="25" a="1"/>
  <c r="D124" i="24" a="1"/>
  <c r="E68" i="36" a="1"/>
  <c r="D184" i="25" a="1"/>
  <c r="E20" i="37" a="1"/>
  <c r="D70" i="35" a="1"/>
  <c r="F149" i="27" a="1"/>
  <c r="D20" i="37" a="1"/>
  <c r="D75" i="36" a="1"/>
  <c r="D19" i="26" a="1"/>
  <c r="D86" i="35" a="1"/>
  <c r="E11" i="32" a="1"/>
  <c r="E119" i="33" a="1"/>
  <c r="D22" i="33" a="1"/>
  <c r="E98" i="25" a="1"/>
  <c r="G41" i="39" a="1"/>
  <c r="D122" i="25" a="1"/>
  <c r="D127" i="28" a="1"/>
  <c r="D174" i="25" a="1"/>
  <c r="D101" i="24" a="1"/>
  <c r="E142" i="24" a="1"/>
  <c r="D125" i="35" a="1"/>
  <c r="E21" i="27" a="1"/>
  <c r="D59" i="33" a="1"/>
  <c r="E94" i="36" a="1"/>
  <c r="S18" i="41" a="1"/>
  <c r="E100" i="36" a="1"/>
  <c r="E86" i="27" a="1"/>
  <c r="E176" i="28" a="1"/>
  <c r="D25" i="37" a="1"/>
  <c r="D32" i="28" a="1"/>
  <c r="D41" i="39" a="1"/>
  <c r="D20" i="35" a="1"/>
  <c r="D235" i="24" a="1"/>
  <c r="E163" i="28" a="1"/>
  <c r="M41" i="39" a="1"/>
  <c r="E127" i="27" a="1"/>
  <c r="E114" i="36" a="1"/>
  <c r="M49" i="39" a="1"/>
  <c r="P22" i="41" a="1"/>
  <c r="D24" i="32" a="1"/>
  <c r="D267" i="24" a="1"/>
  <c r="D6" i="41" a="1"/>
  <c r="D44" i="32" a="1"/>
  <c r="D79" i="36" a="1"/>
  <c r="E17" i="38" a="1"/>
  <c r="E32" i="33" a="1"/>
  <c r="E86" i="24" a="1"/>
  <c r="D41" i="26" a="1"/>
  <c r="E179" i="25" a="1"/>
  <c r="E74" i="25" a="1"/>
  <c r="E155" i="35" a="1"/>
  <c r="D162" i="25" a="1"/>
  <c r="D72" i="33" a="1"/>
  <c r="D114" i="28" a="1"/>
  <c r="D103" i="28" a="1"/>
  <c r="E177" i="28" a="1"/>
  <c r="D112" i="36" a="1"/>
  <c r="E38" i="27" a="1"/>
  <c r="D49" i="32" a="1"/>
  <c r="D68" i="33" a="1"/>
  <c r="D141" i="35" a="1"/>
  <c r="D19" i="38" a="1"/>
  <c r="D155" i="25" a="1"/>
  <c r="D115" i="24" a="1"/>
  <c r="E293" i="24" a="1"/>
  <c r="D43" i="24" a="1"/>
  <c r="E45" i="25" a="1"/>
  <c r="E18" i="37" a="1"/>
  <c r="J48" i="26" a="1"/>
  <c r="D35" i="37" a="1"/>
  <c r="E237" i="24" a="1"/>
  <c r="D23" i="31" a="1"/>
  <c r="D123" i="25" a="1"/>
  <c r="E23" i="28" a="1"/>
  <c r="E86" i="32" a="1"/>
  <c r="E222" i="28" a="1"/>
  <c r="E92" i="32" a="1"/>
  <c r="D4" i="31" a="1"/>
  <c r="G48" i="26" a="1"/>
  <c r="E186" i="24" a="1"/>
  <c r="E146" i="24" a="1"/>
  <c r="D112" i="25" a="1"/>
  <c r="E46" i="36" a="1"/>
  <c r="F48" i="27" a="1"/>
  <c r="P13" i="41" a="1"/>
  <c r="D58" i="24" a="1"/>
  <c r="D157" i="33" a="1"/>
  <c r="D67" i="25" a="1"/>
  <c r="D11" i="41" a="1"/>
  <c r="E131" i="24" a="1"/>
  <c r="D144" i="28" a="1"/>
  <c r="D34" i="28" a="1"/>
  <c r="D287" i="24" a="1"/>
  <c r="E76" i="25" a="1"/>
  <c r="E45" i="37" a="1"/>
  <c r="E21" i="36" a="1"/>
  <c r="E291" i="24" a="1"/>
  <c r="D279" i="24" a="1"/>
  <c r="D49" i="33" a="1"/>
  <c r="F94" i="27" a="1"/>
  <c r="D7" i="26" a="1"/>
  <c r="D171" i="24" a="1"/>
  <c r="E94" i="33" a="1"/>
  <c r="E181" i="25" a="1"/>
  <c r="E121" i="28" a="1"/>
  <c r="D100" i="28" a="1"/>
  <c r="E42" i="32" a="1"/>
  <c r="E96" i="28" a="1"/>
  <c r="S8" i="41" a="1"/>
  <c r="E71" i="27" a="1"/>
  <c r="E174" i="24" a="1"/>
  <c r="D288" i="24" a="1"/>
  <c r="D81" i="25" a="1"/>
  <c r="E97" i="28" a="1"/>
  <c r="E91" i="27" a="1"/>
  <c r="P33" i="39" a="1"/>
  <c r="D280" i="24" a="1"/>
  <c r="E11" i="31" a="1"/>
  <c r="D51" i="33" a="1"/>
  <c r="E35" i="27" a="1"/>
  <c r="E33" i="28" a="1"/>
  <c r="F78" i="27" a="1"/>
  <c r="E129" i="36" a="1"/>
  <c r="E67" i="36" a="1"/>
  <c r="D15" i="41" a="1"/>
  <c r="D207" i="28" a="1"/>
  <c r="E12" i="31" a="1"/>
  <c r="E164" i="25" a="1"/>
  <c r="D37" i="24" a="1"/>
  <c r="D62" i="35" a="1"/>
  <c r="E213" i="28" a="1"/>
  <c r="E44" i="28" a="1"/>
  <c r="E120" i="24" a="1"/>
  <c r="D48" i="25" a="1"/>
  <c r="E257" i="24" a="1"/>
  <c r="D138" i="28" a="1"/>
  <c r="D196" i="28" a="1"/>
  <c r="D56" i="25" a="1"/>
  <c r="D161" i="24" a="1"/>
  <c r="D273" i="28" a="1"/>
  <c r="D26" i="37" a="1"/>
  <c r="D117" i="24" a="1"/>
  <c r="E14" i="39" a="1"/>
  <c r="D22" i="28" a="1"/>
  <c r="E232" i="24" a="1"/>
  <c r="E85" i="24" a="1"/>
  <c r="D47" i="28" a="1"/>
  <c r="E188" i="25" a="1"/>
  <c r="D97" i="32" a="1"/>
  <c r="E64" i="28" a="1"/>
  <c r="S14" i="41" a="1"/>
  <c r="D71" i="33" a="1"/>
  <c r="D41" i="33" a="1"/>
  <c r="E123" i="36" a="1"/>
  <c r="E65" i="33" a="1"/>
  <c r="E11" i="38" a="1"/>
  <c r="E268" i="28" a="1"/>
  <c r="G34" i="26" a="1"/>
  <c r="E98" i="36" a="1"/>
  <c r="D263" i="24" a="1"/>
  <c r="D266" i="28" a="1"/>
  <c r="E250" i="24" a="1"/>
  <c r="E48" i="27" a="1"/>
  <c r="F105" i="27" a="1"/>
  <c r="D193" i="25" a="1"/>
  <c r="E151" i="28" a="1"/>
  <c r="D113" i="35" a="1"/>
  <c r="D48" i="32" a="1"/>
  <c r="E10" i="36" a="1"/>
  <c r="M12" i="41" a="1"/>
  <c r="E139" i="33" a="1"/>
  <c r="F65" i="27" a="1"/>
  <c r="D22" i="31" a="1"/>
  <c r="E24" i="27" a="1"/>
  <c r="E154" i="27" a="1"/>
  <c r="E72" i="24" a="1"/>
  <c r="D55" i="25" a="1"/>
  <c r="E41" i="28" a="1"/>
  <c r="D15" i="29" a="1"/>
  <c r="F71" i="27" a="1"/>
  <c r="E40" i="25" a="1"/>
  <c r="E23" i="38" a="1"/>
  <c r="G47" i="39" a="1"/>
  <c r="F90" i="27" a="1"/>
  <c r="E169" i="28" a="1"/>
  <c r="E10" i="38" a="1"/>
  <c r="D60" i="24" a="1"/>
  <c r="E158" i="25" a="1"/>
  <c r="E21" i="33" a="1"/>
  <c r="E35" i="33" a="1"/>
  <c r="D59" i="36" a="1"/>
  <c r="E98" i="24" a="1"/>
  <c r="D76" i="35" a="1"/>
  <c r="D172" i="24" a="1"/>
  <c r="E166" i="28" a="1"/>
  <c r="E225" i="28" a="1"/>
  <c r="D45" i="39" a="1"/>
  <c r="D94" i="25" a="1"/>
  <c r="D33" i="26" a="1"/>
  <c r="E205" i="28" a="1"/>
  <c r="D174" i="24" a="1"/>
  <c r="E5" i="31" a="1"/>
  <c r="D155" i="28" a="1"/>
  <c r="F52" i="27" a="1"/>
  <c r="D191" i="28" a="1"/>
  <c r="E163" i="25" a="1"/>
  <c r="E178" i="24" a="1"/>
  <c r="E124" i="36" a="1"/>
  <c r="D23" i="35" a="1"/>
  <c r="D23" i="36" a="1"/>
  <c r="D234" i="24" a="1"/>
  <c r="E174" i="28" a="1"/>
  <c r="D18" i="33" a="1"/>
  <c r="D43" i="35" a="1"/>
  <c r="D68" i="24" a="1"/>
  <c r="E60" i="37" a="1"/>
  <c r="F37" i="27" a="1"/>
  <c r="D145" i="33" a="1"/>
  <c r="E44" i="24" a="1"/>
  <c r="D116" i="35" a="1"/>
  <c r="D195" i="28" a="1"/>
  <c r="E52" i="33" a="1"/>
  <c r="E214" i="28" a="1"/>
  <c r="D146" i="33" a="1"/>
  <c r="D187" i="24" a="1"/>
  <c r="E38" i="32" a="1"/>
  <c r="D141" i="24" a="1"/>
  <c r="D101" i="25" a="1"/>
  <c r="D71" i="24" a="1"/>
  <c r="E269" i="28" a="1"/>
  <c r="D36" i="26" a="1"/>
  <c r="D92" i="32" a="1"/>
  <c r="D33" i="33" a="1"/>
  <c r="E40" i="36" a="1"/>
  <c r="E48" i="32" a="1"/>
  <c r="E150" i="24" a="1"/>
  <c r="E149" i="24" a="1"/>
  <c r="J32" i="39" a="1"/>
  <c r="D127" i="25" a="1"/>
  <c r="E48" i="25" a="1"/>
  <c r="E126" i="28" a="1"/>
  <c r="D154" i="24" a="1"/>
  <c r="D21" i="39" a="1"/>
  <c r="G48" i="39" a="1"/>
  <c r="D24" i="26" a="1"/>
  <c r="E245" i="28" a="1"/>
  <c r="G6" i="41" a="1"/>
  <c r="E48" i="24" a="1"/>
  <c r="E227" i="28" a="1"/>
  <c r="E226" i="24" a="1"/>
  <c r="G39" i="26" a="1"/>
  <c r="D240" i="28" a="1"/>
  <c r="D100" i="25" a="1"/>
  <c r="D103" i="36" a="1"/>
  <c r="E97" i="33" a="1"/>
  <c r="E123" i="27" a="1"/>
  <c r="E99" i="27" a="1"/>
  <c r="D177" i="24" a="1"/>
  <c r="D86" i="24" a="1"/>
  <c r="E195" i="28" a="1"/>
  <c r="J44" i="39" a="1"/>
  <c r="P12" i="41" a="1"/>
  <c r="E63" i="36" a="1"/>
  <c r="D270" i="28" a="1"/>
  <c r="E253" i="24" a="1"/>
  <c r="D49" i="24" a="1"/>
  <c r="E85" i="36" a="1"/>
  <c r="G49" i="26" a="1"/>
  <c r="D14" i="26" a="1"/>
  <c r="E23" i="39" a="1"/>
  <c r="E33" i="24" a="1"/>
  <c r="E35" i="37" a="1"/>
  <c r="E78" i="37" a="1"/>
  <c r="E46" i="24" a="1"/>
  <c r="E99" i="24" a="1"/>
  <c r="F121" i="27" a="1"/>
  <c r="J18" i="41" a="1"/>
  <c r="E90" i="27" a="1"/>
  <c r="D14" i="29" a="1"/>
  <c r="E40" i="24" a="1"/>
  <c r="J50" i="39" a="1"/>
  <c r="E50" i="37" a="1"/>
  <c r="G50" i="26" a="1"/>
  <c r="D166" i="25" a="1"/>
  <c r="E175" i="27" a="1"/>
  <c r="E9" i="36" a="1"/>
  <c r="E171" i="28" a="1"/>
  <c r="D43" i="39" a="1"/>
  <c r="D52" i="37" a="1"/>
  <c r="E260" i="24" a="1"/>
  <c r="D154" i="33" a="1"/>
  <c r="E126" i="33" a="1"/>
  <c r="E141" i="27" a="1"/>
  <c r="D49" i="26" a="1"/>
  <c r="D169" i="28" a="1"/>
  <c r="D189" i="28" a="1"/>
  <c r="D37" i="28" a="1"/>
  <c r="G50" i="39" a="1"/>
  <c r="D42" i="37" a="1"/>
  <c r="M36" i="39" a="1"/>
  <c r="E7" i="37" a="1"/>
  <c r="E110" i="25" a="1"/>
  <c r="D286" i="24" a="1"/>
  <c r="E143" i="28" a="1"/>
  <c r="E294" i="24" a="1"/>
  <c r="D87" i="24" a="1"/>
  <c r="D14" i="33" a="1"/>
  <c r="G43" i="26" a="1"/>
  <c r="E157" i="33" a="1"/>
  <c r="D96" i="33" a="1"/>
  <c r="D18" i="39" a="1"/>
  <c r="D18" i="35" a="1"/>
  <c r="E8" i="39" a="1"/>
  <c r="E89" i="33" a="1"/>
  <c r="E153" i="24" a="1"/>
  <c r="D39" i="24" a="1"/>
  <c r="D181" i="25" a="1"/>
  <c r="D22" i="36" a="1"/>
  <c r="E128" i="24" a="1"/>
  <c r="E96" i="33" a="1"/>
  <c r="E183" i="27" a="1"/>
  <c r="E265" i="28" a="1"/>
  <c r="D152" i="24" a="1"/>
  <c r="E13" i="37" a="1"/>
  <c r="F142" i="27" a="1"/>
  <c r="E14" i="31" a="1"/>
  <c r="E47" i="36" a="1"/>
  <c r="D269" i="24" a="1"/>
  <c r="E177" i="24" a="1"/>
  <c r="E14" i="38" a="1"/>
  <c r="E207" i="24" a="1"/>
  <c r="D158" i="35" a="1"/>
  <c r="D23" i="32" a="1"/>
  <c r="E261" i="24" a="1"/>
  <c r="E119" i="24" a="1"/>
  <c r="P9" i="41" a="1"/>
  <c r="E34" i="37" a="1"/>
  <c r="J48" i="39" a="1"/>
  <c r="E76" i="24" a="1"/>
  <c r="D33" i="37" a="1"/>
  <c r="D296" i="24" a="1"/>
  <c r="E14" i="32" a="1"/>
  <c r="E89" i="28" a="1"/>
  <c r="D35" i="39" a="1"/>
  <c r="D121" i="28" a="1"/>
  <c r="E187" i="25" a="1"/>
  <c r="D124" i="28" a="1"/>
  <c r="D224" i="24" a="1"/>
  <c r="J21" i="41" a="1"/>
  <c r="E52" i="36" a="1"/>
  <c r="D251" i="24" a="1"/>
  <c r="E240" i="24" a="1"/>
  <c r="E224" i="24" a="1"/>
  <c r="D85" i="24" a="1"/>
  <c r="D188" i="25" a="1"/>
  <c r="D103" i="32" a="1"/>
  <c r="E76" i="32" a="1"/>
  <c r="J8" i="41" a="1"/>
  <c r="D87" i="32" a="1"/>
  <c r="E62" i="24" a="1"/>
  <c r="E284" i="24" a="1"/>
  <c r="E102" i="32" a="1"/>
  <c r="E75" i="37" a="1"/>
  <c r="E70" i="25" a="1"/>
  <c r="E23" i="33" a="1"/>
  <c r="E44" i="25" a="1"/>
  <c r="D142" i="24" a="1"/>
  <c r="E257" i="28" a="1"/>
  <c r="E88" i="32" a="1"/>
  <c r="D37" i="35" a="1"/>
  <c r="P38" i="39" a="1"/>
  <c r="E97" i="27" a="1"/>
  <c r="D19" i="41" a="1"/>
  <c r="M35" i="39" a="1"/>
  <c r="D37" i="37" a="1"/>
  <c r="E73" i="27" a="1"/>
  <c r="D132" i="35" a="1"/>
  <c r="D70" i="37" a="1"/>
  <c r="E42" i="25" a="1"/>
  <c r="D114" i="35" a="1"/>
  <c r="D49" i="35" a="1"/>
  <c r="D44" i="39" a="1"/>
  <c r="D158" i="24" a="1"/>
  <c r="E145" i="27" a="1"/>
  <c r="D35" i="24" a="1"/>
  <c r="M52" i="39" a="1"/>
  <c r="G5" i="41" a="1"/>
  <c r="E155" i="24" a="1"/>
  <c r="E123" i="25" a="1"/>
  <c r="D289" i="24" a="1"/>
  <c r="E74" i="32" a="1"/>
  <c r="E116" i="33" a="1"/>
  <c r="D34" i="37" a="1"/>
  <c r="E138" i="35" a="1"/>
  <c r="E275" i="28" a="1"/>
  <c r="E37" i="24" a="1"/>
  <c r="E7" i="31" a="1"/>
  <c r="D232" i="24" a="1"/>
  <c r="E249" i="24" a="1"/>
  <c r="D150" i="24" a="1"/>
  <c r="G42" i="26" a="1"/>
  <c r="E152" i="33" a="1"/>
  <c r="D190" i="25" a="1"/>
  <c r="D142" i="28" a="1"/>
  <c r="D64" i="33" a="1"/>
  <c r="D64" i="37" a="1"/>
  <c r="D44" i="24" a="1"/>
  <c r="D21" i="37" a="1"/>
  <c r="E16" i="31" a="1"/>
  <c r="E272" i="28" a="1"/>
  <c r="D152" i="25" a="1"/>
  <c r="D178" i="25" a="1"/>
  <c r="E161" i="24" a="1"/>
  <c r="D78" i="37" a="1"/>
  <c r="E34" i="36" a="1"/>
  <c r="E156" i="35" a="1"/>
  <c r="E75" i="32" a="1"/>
  <c r="D39" i="33" a="1"/>
  <c r="D40" i="33" a="1"/>
  <c r="D17" i="38" a="1"/>
  <c r="D65" i="33" a="1"/>
  <c r="F62" i="27" a="1"/>
  <c r="D126" i="35" a="1"/>
  <c r="D52" i="33" a="1"/>
  <c r="D63" i="37" a="1"/>
  <c r="E49" i="32" a="1"/>
  <c r="D23" i="28" a="1"/>
  <c r="E61" i="37" a="1"/>
  <c r="E12" i="28" a="1"/>
  <c r="E9" i="31" a="1"/>
  <c r="D212" i="24" a="1"/>
  <c r="E5" i="38" a="1"/>
  <c r="D186" i="24" a="1"/>
  <c r="E97" i="25" a="1"/>
  <c r="E122" i="27" a="1"/>
  <c r="P14" i="41" a="1"/>
  <c r="G44" i="39" a="1"/>
  <c r="D70" i="32" a="1"/>
  <c r="E222" i="24" a="1"/>
  <c r="D13" i="33" a="1"/>
  <c r="D24" i="37" a="1"/>
  <c r="J23" i="41" a="1"/>
  <c r="J12" i="41" a="1"/>
  <c r="E49" i="24" a="1"/>
  <c r="D174" i="28" a="1"/>
  <c r="J52" i="39" a="1"/>
  <c r="D71" i="28" a="1"/>
  <c r="D91" i="36" a="1"/>
  <c r="D213" i="24" a="1"/>
  <c r="D47" i="36" a="1"/>
  <c r="D186" i="25" a="1"/>
  <c r="M4" i="41" a="1"/>
  <c r="E127" i="25" a="1"/>
  <c r="D98" i="24" a="1"/>
  <c r="E47" i="28" a="1"/>
  <c r="D233" i="24" a="1"/>
  <c r="E91" i="28" a="1"/>
  <c r="D294" i="24" a="1"/>
  <c r="D49" i="36" a="1"/>
  <c r="E19" i="37" a="1"/>
  <c r="E22" i="36" a="1"/>
  <c r="E231" i="28" a="1"/>
  <c r="D155" i="24" a="1"/>
  <c r="E130" i="33" a="1"/>
  <c r="D208" i="24" a="1"/>
  <c r="E82" i="25" a="1"/>
  <c r="E43" i="37" a="1"/>
  <c r="D45" i="26" a="1"/>
  <c r="D178" i="28" a="1"/>
  <c r="D59" i="35" a="1"/>
  <c r="E100" i="27" a="1"/>
  <c r="E38" i="25" a="1"/>
  <c r="D37" i="39" a="1"/>
  <c r="E38" i="36" a="1"/>
  <c r="D102" i="35" a="1"/>
  <c r="D42" i="35" a="1"/>
  <c r="G32" i="26" a="1"/>
  <c r="F113" i="27" a="1"/>
  <c r="D13" i="35" a="1"/>
  <c r="D25" i="29" a="1"/>
  <c r="E42" i="24" a="1"/>
  <c r="D241" i="24" a="1"/>
  <c r="D282" i="24" a="1"/>
  <c r="D24" i="41" a="1"/>
  <c r="E61" i="36" a="1"/>
  <c r="E152" i="28" a="1"/>
  <c r="E44" i="33" a="1"/>
  <c r="E61" i="24" a="1"/>
  <c r="G37" i="26" a="1"/>
  <c r="D15" i="37" a="1"/>
  <c r="D93" i="33" a="1"/>
  <c r="D96" i="32" a="1"/>
  <c r="P5" i="41" a="1"/>
  <c r="E21" i="31" a="1"/>
  <c r="E14" i="36" a="1"/>
  <c r="D41" i="24" a="1"/>
  <c r="D26" i="36" a="1"/>
  <c r="D251" i="28" a="1"/>
  <c r="D175" i="25" a="1"/>
  <c r="D21" i="33" a="1"/>
  <c r="F104" i="27" a="1"/>
  <c r="E67" i="24" a="1"/>
  <c r="D292" i="24" a="1"/>
  <c r="D35" i="26" a="1"/>
  <c r="E141" i="28" a="1"/>
  <c r="F89" i="27" a="1"/>
  <c r="E116" i="24" a="1"/>
  <c r="D126" i="24" a="1"/>
  <c r="E128" i="25" a="1"/>
  <c r="D242" i="28" a="1"/>
  <c r="F92" i="27" a="1"/>
  <c r="E64" i="32" a="1"/>
  <c r="E120" i="28" a="1"/>
  <c r="D47" i="33" a="1"/>
  <c r="J13" i="41" a="1"/>
  <c r="E95" i="28" a="1"/>
  <c r="E68" i="33" a="1"/>
  <c r="D36" i="24" a="1"/>
  <c r="D44" i="36" a="1"/>
  <c r="D32" i="35" a="1"/>
  <c r="E100" i="24" a="1"/>
  <c r="E112" i="27" a="1"/>
  <c r="D266" i="24" a="1"/>
  <c r="D8" i="36" a="1"/>
  <c r="E127" i="24" a="1"/>
  <c r="E197" i="28" a="1"/>
  <c r="E39" i="36" a="1"/>
  <c r="D75" i="28" a="1"/>
  <c r="E23" i="31" a="1"/>
  <c r="D66" i="28" a="1"/>
  <c r="E51" i="37" a="1"/>
  <c r="G51" i="26" a="1"/>
  <c r="E25" i="28" a="1"/>
  <c r="E66" i="25" a="1"/>
  <c r="E121" i="27" a="1"/>
  <c r="E39" i="25" a="1"/>
  <c r="G22" i="41" a="1"/>
  <c r="F155" i="27" a="1"/>
  <c r="E17" i="36" a="1"/>
  <c r="D50" i="32" a="1"/>
  <c r="E95" i="36" a="1"/>
  <c r="E138" i="27" a="1"/>
  <c r="D95" i="32" a="1"/>
  <c r="E63" i="37" a="1"/>
  <c r="D10" i="41" a="1"/>
  <c r="E167" i="25" a="1"/>
  <c r="E126" i="36" a="1"/>
  <c r="M37" i="39" a="1"/>
  <c r="D102" i="36" a="1"/>
  <c r="E240" i="28" a="1"/>
  <c r="E175" i="28" a="1"/>
  <c r="D143" i="28" a="1"/>
  <c r="G46" i="39" a="1"/>
  <c r="D65" i="25" a="1"/>
  <c r="E63" i="33" a="1"/>
  <c r="D253" i="28" a="1"/>
  <c r="E71" i="36" a="1"/>
  <c r="J47" i="39" a="1"/>
  <c r="E266" i="28" a="1"/>
  <c r="E18" i="31" a="1"/>
  <c r="E41" i="32" a="1"/>
  <c r="D71" i="35" a="1"/>
  <c r="D17" i="39" a="1"/>
  <c r="E168" i="27" a="1"/>
  <c r="E184" i="24" a="1"/>
  <c r="D60" i="37" a="1"/>
  <c r="E144" i="33" a="1"/>
  <c r="E104" i="24" a="1"/>
  <c r="D52" i="24" a="1"/>
  <c r="D53" i="25" a="1"/>
  <c r="E66" i="37" a="1"/>
  <c r="D17" i="37" a="1"/>
  <c r="E131" i="33" a="1"/>
  <c r="D65" i="35" a="1"/>
  <c r="E125" i="27" a="1"/>
  <c r="D75" i="37" a="1"/>
  <c r="E60" i="32" a="1"/>
  <c r="E72" i="37" a="1"/>
  <c r="D180" i="28" a="1"/>
  <c r="J40" i="26" a="1"/>
  <c r="E211" i="24" a="1"/>
  <c r="E77" i="37" a="1"/>
  <c r="E242" i="28" a="1"/>
  <c r="E94" i="24" a="1"/>
  <c r="D67" i="37" a="1"/>
  <c r="D6" i="26" a="1"/>
  <c r="D147" i="33" a="1"/>
  <c r="D76" i="28" a="1"/>
  <c r="E180" i="24" a="1"/>
  <c r="D190" i="28" a="1"/>
  <c r="E73" i="25" a="1"/>
  <c r="E141" i="35" a="1"/>
  <c r="E229" i="24" a="1"/>
  <c r="E102" i="24" a="1"/>
  <c r="E24" i="39" a="1"/>
  <c r="D10" i="31" a="1"/>
  <c r="E125" i="25" a="1"/>
  <c r="D189" i="25" a="1"/>
  <c r="E143" i="24" a="1"/>
  <c r="D267" i="28" a="1"/>
  <c r="S22" i="41" a="1"/>
  <c r="E104" i="32" a="1"/>
  <c r="M24" i="41" a="1"/>
  <c r="D69" i="28" a="1"/>
  <c r="E92" i="25" a="1"/>
  <c r="E102" i="33" a="1"/>
  <c r="E73" i="33" a="1"/>
  <c r="E295" i="24" a="1"/>
  <c r="D14" i="31" a="1"/>
  <c r="E66" i="27" a="1"/>
  <c r="D122" i="35" a="1"/>
  <c r="E160" i="25" a="1"/>
  <c r="D24" i="33" a="1"/>
  <c r="F23" i="27" a="1"/>
  <c r="E127" i="36" a="1"/>
  <c r="E72" i="33" a="1"/>
  <c r="E154" i="28" a="1"/>
  <c r="E199" i="28" a="1"/>
  <c r="E89" i="32" a="1"/>
  <c r="G9" i="41" a="1"/>
  <c r="E182" i="24" a="1"/>
  <c r="D139" i="25" a="1"/>
  <c r="D51" i="39" a="1"/>
  <c r="D203" i="28" a="1"/>
  <c r="E239" i="24" a="1"/>
  <c r="J11" i="41" a="1"/>
  <c r="F152" i="27" a="1"/>
  <c r="E256" i="28" a="1"/>
  <c r="D54" i="25" a="1"/>
  <c r="E173" i="28" a="1"/>
  <c r="J49" i="26" a="1"/>
  <c r="J15" i="41" a="1"/>
  <c r="D74" i="35" a="1"/>
  <c r="D142" i="35" a="1"/>
  <c r="E87" i="27" a="1"/>
  <c r="E43" i="25" a="1"/>
  <c r="D61" i="24" a="1"/>
  <c r="D92" i="24" a="1"/>
  <c r="D149" i="33" a="1"/>
  <c r="E70" i="33" a="1"/>
  <c r="D99" i="32" a="1"/>
  <c r="E43" i="24" a="1"/>
  <c r="D73" i="32" a="1"/>
  <c r="E10" i="33" a="1"/>
  <c r="E90" i="24" a="1"/>
  <c r="E91" i="33" a="1"/>
  <c r="D134" i="25" a="1"/>
  <c r="P46" i="39" a="1"/>
  <c r="D93" i="24" a="1"/>
  <c r="E255" i="24" a="1"/>
  <c r="D97" i="36" a="1"/>
  <c r="E24" i="36" a="1"/>
  <c r="D59" i="37" a="1"/>
  <c r="E14" i="33" a="1"/>
  <c r="E73" i="28" a="1"/>
  <c r="D38" i="32" a="1"/>
  <c r="D284" i="24" a="1"/>
  <c r="E19" i="31" a="1"/>
  <c r="F120" i="27" a="1"/>
  <c r="F156" i="27" a="1"/>
  <c r="E44" i="37" a="1"/>
  <c r="D209" i="24" a="1"/>
  <c r="D16" i="28" a="1"/>
  <c r="F18" i="27" a="1"/>
  <c r="E16" i="28" a="1"/>
  <c r="D16" i="32" a="1"/>
  <c r="D17" i="28" a="1"/>
  <c r="F17" i="27" a="1"/>
  <c r="E17" i="32" a="1"/>
  <c r="F16" i="27" a="1"/>
  <c r="E19" i="27" a="1"/>
  <c r="E17" i="28" a="1"/>
  <c r="D18" i="32" a="1"/>
  <c r="E18" i="27" a="1"/>
  <c r="E18" i="32" a="1"/>
  <c r="D17" i="32" a="1"/>
  <c r="F19" i="27" a="1"/>
  <c r="E20" i="27" a="1"/>
  <c r="E15" i="28" a="1"/>
  <c r="D18" i="28" a="1"/>
  <c r="D209" i="24" l="1"/>
  <c r="E44" i="37"/>
  <c r="F156" i="27"/>
  <c r="F120" i="27"/>
  <c r="E19" i="31"/>
  <c r="D284" i="24"/>
  <c r="D38" i="32"/>
  <c r="E73" i="28"/>
  <c r="E14" i="33"/>
  <c r="D59" i="37"/>
  <c r="E24" i="36"/>
  <c r="D97" i="36"/>
  <c r="E255" i="24"/>
  <c r="D93" i="24"/>
  <c r="P46" i="39"/>
  <c r="D134" i="25"/>
  <c r="E91" i="33"/>
  <c r="E90" i="24"/>
  <c r="E10" i="33"/>
  <c r="D73" i="32"/>
  <c r="E43" i="24"/>
  <c r="D99" i="32"/>
  <c r="E70" i="33"/>
  <c r="D149" i="33"/>
  <c r="D92" i="24"/>
  <c r="D61" i="24"/>
  <c r="E43" i="25"/>
  <c r="E87" i="27"/>
  <c r="D142" i="35"/>
  <c r="D74" i="35"/>
  <c r="J15" i="41"/>
  <c r="J49" i="26"/>
  <c r="E173" i="28"/>
  <c r="D54" i="25"/>
  <c r="E256" i="28"/>
  <c r="F152" i="27"/>
  <c r="J11" i="41"/>
  <c r="E239" i="24"/>
  <c r="D203" i="28"/>
  <c r="D51" i="39"/>
  <c r="D139" i="25"/>
  <c r="E182" i="24"/>
  <c r="G9" i="41"/>
  <c r="E89" i="32"/>
  <c r="E199" i="28"/>
  <c r="E154" i="28"/>
  <c r="E72" i="33"/>
  <c r="E127" i="36"/>
  <c r="F23" i="27"/>
  <c r="D24" i="33"/>
  <c r="E160" i="25"/>
  <c r="D122" i="35"/>
  <c r="E66" i="27"/>
  <c r="D14" i="31"/>
  <c r="E295" i="24"/>
  <c r="E73" i="33"/>
  <c r="E102" i="33"/>
  <c r="E92" i="25"/>
  <c r="D69" i="28"/>
  <c r="M24" i="41"/>
  <c r="E104" i="32"/>
  <c r="S22" i="41"/>
  <c r="D267" i="28"/>
  <c r="E143" i="24"/>
  <c r="D189" i="25"/>
  <c r="E125" i="25"/>
  <c r="D10" i="31"/>
  <c r="E24" i="39"/>
  <c r="E102" i="24"/>
  <c r="E229" i="24"/>
  <c r="E141" i="35"/>
  <c r="E73" i="25"/>
  <c r="D190" i="28"/>
  <c r="E180" i="24"/>
  <c r="D76" i="28"/>
  <c r="D147" i="33"/>
  <c r="D6" i="26"/>
  <c r="D67" i="37"/>
  <c r="E94" i="24"/>
  <c r="E242" i="28"/>
  <c r="E77" i="37"/>
  <c r="E211" i="24"/>
  <c r="J40" i="26"/>
  <c r="D180" i="28"/>
  <c r="E72" i="37"/>
  <c r="E60" i="32"/>
  <c r="D75" i="37"/>
  <c r="E125" i="27"/>
  <c r="D65" i="35"/>
  <c r="E131" i="33"/>
  <c r="D17" i="37"/>
  <c r="E66" i="37"/>
  <c r="D53" i="25"/>
  <c r="D52" i="24"/>
  <c r="E104" i="24"/>
  <c r="E144" i="33"/>
  <c r="D60" i="37"/>
  <c r="E184" i="24"/>
  <c r="E168" i="27"/>
  <c r="D17" i="39"/>
  <c r="D71" i="35"/>
  <c r="E41" i="32"/>
  <c r="E18" i="31"/>
  <c r="E266" i="28"/>
  <c r="J47" i="39"/>
  <c r="E71" i="36"/>
  <c r="D253" i="28"/>
  <c r="E63" i="33"/>
  <c r="D65" i="25"/>
  <c r="G46" i="39"/>
  <c r="D143" i="28"/>
  <c r="E175" i="28"/>
  <c r="E240" i="28"/>
  <c r="D102" i="36"/>
  <c r="M37" i="39"/>
  <c r="E126" i="36"/>
  <c r="E167" i="25"/>
  <c r="D10" i="41"/>
  <c r="E63" i="37"/>
  <c r="D95" i="32"/>
  <c r="E138" i="27"/>
  <c r="E95" i="36"/>
  <c r="D50" i="32"/>
  <c r="E17" i="36"/>
  <c r="F155" i="27"/>
  <c r="G22" i="41"/>
  <c r="E39" i="25"/>
  <c r="E121" i="27"/>
  <c r="E66" i="25"/>
  <c r="E25" i="28"/>
  <c r="G51" i="26"/>
  <c r="E51" i="37"/>
  <c r="D66" i="28"/>
  <c r="E23" i="31"/>
  <c r="D75" i="28"/>
  <c r="E39" i="36"/>
  <c r="E197" i="28"/>
  <c r="E127" i="24"/>
  <c r="D8" i="36"/>
  <c r="D266" i="24"/>
  <c r="E112" i="27"/>
  <c r="E100" i="24"/>
  <c r="D32" i="35"/>
  <c r="D44" i="36"/>
  <c r="D36" i="24"/>
  <c r="E68" i="33"/>
  <c r="E95" i="28"/>
  <c r="J13" i="41"/>
  <c r="D47" i="33"/>
  <c r="E120" i="28"/>
  <c r="E64" i="32"/>
  <c r="F92" i="27"/>
  <c r="D242" i="28"/>
  <c r="E128" i="25"/>
  <c r="D126" i="24"/>
  <c r="E116" i="24"/>
  <c r="F89" i="27"/>
  <c r="E141" i="28"/>
  <c r="D35" i="26"/>
  <c r="D292" i="24"/>
  <c r="E67" i="24"/>
  <c r="F104" i="27"/>
  <c r="D21" i="33"/>
  <c r="D175" i="25"/>
  <c r="D251" i="28"/>
  <c r="D26" i="36"/>
  <c r="D41" i="24"/>
  <c r="E14" i="36"/>
  <c r="E21" i="31"/>
  <c r="P5" i="41"/>
  <c r="D96" i="32"/>
  <c r="D93" i="33"/>
  <c r="D15" i="37"/>
  <c r="G37" i="26"/>
  <c r="E61" i="24"/>
  <c r="E44" i="33"/>
  <c r="E152" i="28"/>
  <c r="E61" i="36"/>
  <c r="D24" i="41"/>
  <c r="D282" i="24"/>
  <c r="D241" i="24"/>
  <c r="E42" i="24"/>
  <c r="D25" i="29"/>
  <c r="D13" i="35"/>
  <c r="F113" i="27"/>
  <c r="G32" i="26"/>
  <c r="D42" i="35"/>
  <c r="D102" i="35"/>
  <c r="E38" i="36"/>
  <c r="D37" i="39"/>
  <c r="E38" i="25"/>
  <c r="E100" i="27"/>
  <c r="D59" i="35"/>
  <c r="D178" i="28"/>
  <c r="D45" i="26"/>
  <c r="E43" i="37"/>
  <c r="E82" i="25"/>
  <c r="D208" i="24"/>
  <c r="E130" i="33"/>
  <c r="D155" i="24"/>
  <c r="E231" i="28"/>
  <c r="E22" i="36"/>
  <c r="E19" i="37"/>
  <c r="D49" i="36"/>
  <c r="D294" i="24"/>
  <c r="E91" i="28"/>
  <c r="D233" i="24"/>
  <c r="E47" i="28"/>
  <c r="D98" i="24"/>
  <c r="E127" i="25"/>
  <c r="M4" i="41"/>
  <c r="D186" i="25"/>
  <c r="D47" i="36"/>
  <c r="D213" i="24"/>
  <c r="D91" i="36"/>
  <c r="D71" i="28"/>
  <c r="J52" i="39"/>
  <c r="D174" i="28"/>
  <c r="E49" i="24"/>
  <c r="J12" i="41"/>
  <c r="J23" i="41"/>
  <c r="D24" i="37"/>
  <c r="D13" i="33"/>
  <c r="E222" i="24"/>
  <c r="D70" i="32"/>
  <c r="G44" i="39"/>
  <c r="P14" i="41"/>
  <c r="E122" i="27"/>
  <c r="E97" i="25"/>
  <c r="D186" i="24"/>
  <c r="E5" i="38"/>
  <c r="D212" i="24"/>
  <c r="E9" i="31"/>
  <c r="E12" i="28"/>
  <c r="E61" i="37"/>
  <c r="D23" i="28"/>
  <c r="E49" i="32"/>
  <c r="D63" i="37"/>
  <c r="D52" i="33"/>
  <c r="D126" i="35"/>
  <c r="F62" i="27"/>
  <c r="D65" i="33"/>
  <c r="D17" i="38"/>
  <c r="D40" i="33"/>
  <c r="D39" i="33"/>
  <c r="E75" i="32"/>
  <c r="E156" i="35"/>
  <c r="E34" i="36"/>
  <c r="D78" i="37"/>
  <c r="E161" i="24"/>
  <c r="D178" i="25"/>
  <c r="D152" i="25"/>
  <c r="E272" i="28"/>
  <c r="E16" i="31"/>
  <c r="D21" i="37"/>
  <c r="D44" i="24"/>
  <c r="D64" i="37"/>
  <c r="D64" i="33"/>
  <c r="D142" i="28"/>
  <c r="D190" i="25"/>
  <c r="E152" i="33"/>
  <c r="G42" i="26"/>
  <c r="D150" i="24"/>
  <c r="E249" i="24"/>
  <c r="D232" i="24"/>
  <c r="E7" i="31"/>
  <c r="E37" i="24"/>
  <c r="E275" i="28"/>
  <c r="E138" i="35"/>
  <c r="D34" i="37"/>
  <c r="E116" i="33"/>
  <c r="E74" i="32"/>
  <c r="D289" i="24"/>
  <c r="E123" i="25"/>
  <c r="E155" i="24"/>
  <c r="G5" i="41"/>
  <c r="M52" i="39"/>
  <c r="D35" i="24"/>
  <c r="E145" i="27"/>
  <c r="D158" i="24"/>
  <c r="D44" i="39"/>
  <c r="D49" i="35"/>
  <c r="D114" i="35"/>
  <c r="E42" i="25"/>
  <c r="D70" i="37"/>
  <c r="D132" i="35"/>
  <c r="E73" i="27"/>
  <c r="D37" i="37"/>
  <c r="M35" i="39"/>
  <c r="D19" i="41"/>
  <c r="E97" i="27"/>
  <c r="P38" i="39"/>
  <c r="D37" i="35"/>
  <c r="E88" i="32"/>
  <c r="E257" i="28"/>
  <c r="D142" i="24"/>
  <c r="E44" i="25"/>
  <c r="E23" i="33"/>
  <c r="E70" i="25"/>
  <c r="E75" i="37"/>
  <c r="E102" i="32"/>
  <c r="E284" i="24"/>
  <c r="E62" i="24"/>
  <c r="D87" i="32"/>
  <c r="J8" i="41"/>
  <c r="E76" i="32"/>
  <c r="D103" i="32"/>
  <c r="D188" i="25"/>
  <c r="D85" i="24"/>
  <c r="E224" i="24"/>
  <c r="E240" i="24"/>
  <c r="D251" i="24"/>
  <c r="E52" i="36"/>
  <c r="J21" i="41"/>
  <c r="D224" i="24"/>
  <c r="D124" i="28"/>
  <c r="E187" i="25"/>
  <c r="D121" i="28"/>
  <c r="D35" i="39"/>
  <c r="E89" i="28"/>
  <c r="E14" i="32"/>
  <c r="D296" i="24"/>
  <c r="D33" i="37"/>
  <c r="E76" i="24"/>
  <c r="J48" i="39"/>
  <c r="E34" i="37"/>
  <c r="P9" i="41"/>
  <c r="E119" i="24"/>
  <c r="E261" i="24"/>
  <c r="D23" i="32"/>
  <c r="D158" i="35"/>
  <c r="E207" i="24"/>
  <c r="E14" i="38"/>
  <c r="E177" i="24"/>
  <c r="D269" i="24"/>
  <c r="E47" i="36"/>
  <c r="E14" i="31"/>
  <c r="F142" i="27"/>
  <c r="E13" i="37"/>
  <c r="D152" i="24"/>
  <c r="E265" i="28"/>
  <c r="E183" i="27"/>
  <c r="E96" i="33"/>
  <c r="E128" i="24"/>
  <c r="D22" i="36"/>
  <c r="D181" i="25"/>
  <c r="D39" i="24"/>
  <c r="E153" i="24"/>
  <c r="E89" i="33"/>
  <c r="E8" i="39"/>
  <c r="D18" i="35"/>
  <c r="D18" i="39"/>
  <c r="D96" i="33"/>
  <c r="E157" i="33"/>
  <c r="G43" i="26"/>
  <c r="D14" i="33"/>
  <c r="D87" i="24"/>
  <c r="E294" i="24"/>
  <c r="E143" i="28"/>
  <c r="D286" i="24"/>
  <c r="E110" i="25"/>
  <c r="E7" i="37"/>
  <c r="M36" i="39"/>
  <c r="D42" i="37"/>
  <c r="G50" i="39"/>
  <c r="D37" i="28"/>
  <c r="D189" i="28"/>
  <c r="D169" i="28"/>
  <c r="D49" i="26"/>
  <c r="E141" i="27"/>
  <c r="E126" i="33"/>
  <c r="D154" i="33"/>
  <c r="E260" i="24"/>
  <c r="D52" i="37"/>
  <c r="D43" i="39"/>
  <c r="E171" i="28"/>
  <c r="E9" i="36"/>
  <c r="E175" i="27"/>
  <c r="D166" i="25"/>
  <c r="G50" i="26"/>
  <c r="E50" i="37"/>
  <c r="J50" i="39"/>
  <c r="E40" i="24"/>
  <c r="D14" i="29"/>
  <c r="E90" i="27"/>
  <c r="J18" i="41"/>
  <c r="F121" i="27"/>
  <c r="E99" i="24"/>
  <c r="E46" i="24"/>
  <c r="E78" i="37"/>
  <c r="E35" i="37"/>
  <c r="E33" i="24"/>
  <c r="E23" i="39"/>
  <c r="D14" i="26"/>
  <c r="G49" i="26"/>
  <c r="E85" i="36"/>
  <c r="D49" i="24"/>
  <c r="E253" i="24"/>
  <c r="D270" i="28"/>
  <c r="E63" i="36"/>
  <c r="P12" i="41"/>
  <c r="J44" i="39"/>
  <c r="E195" i="28"/>
  <c r="D86" i="24"/>
  <c r="D177" i="24"/>
  <c r="E99" i="27"/>
  <c r="E123" i="27"/>
  <c r="E97" i="33"/>
  <c r="D103" i="36"/>
  <c r="D100" i="25"/>
  <c r="D240" i="28"/>
  <c r="G39" i="26"/>
  <c r="E226" i="24"/>
  <c r="E227" i="28"/>
  <c r="E48" i="24"/>
  <c r="G6" i="41"/>
  <c r="E245" i="28"/>
  <c r="D24" i="26"/>
  <c r="G48" i="39"/>
  <c r="D21" i="39"/>
  <c r="D154" i="24"/>
  <c r="E126" i="28"/>
  <c r="E48" i="25"/>
  <c r="D127" i="25"/>
  <c r="J32" i="39"/>
  <c r="E149" i="24"/>
  <c r="E150" i="24"/>
  <c r="E48" i="32"/>
  <c r="E40" i="36"/>
  <c r="D33" i="33"/>
  <c r="D92" i="32"/>
  <c r="D36" i="26"/>
  <c r="E269" i="28"/>
  <c r="D71" i="24"/>
  <c r="D101" i="25"/>
  <c r="D141" i="24"/>
  <c r="E38" i="32"/>
  <c r="D187" i="24"/>
  <c r="D146" i="33"/>
  <c r="E214" i="28"/>
  <c r="E52" i="33"/>
  <c r="D195" i="28"/>
  <c r="D116" i="35"/>
  <c r="E44" i="24"/>
  <c r="D145" i="33"/>
  <c r="F37" i="27"/>
  <c r="E60" i="37"/>
  <c r="D68" i="24"/>
  <c r="D43" i="35"/>
  <c r="D18" i="33"/>
  <c r="E174" i="28"/>
  <c r="D234" i="24"/>
  <c r="D23" i="36"/>
  <c r="D23" i="35"/>
  <c r="E124" i="36"/>
  <c r="E178" i="24"/>
  <c r="E163" i="25"/>
  <c r="D191" i="28"/>
  <c r="F52" i="27"/>
  <c r="D155" i="28"/>
  <c r="E5" i="31"/>
  <c r="D174" i="24"/>
  <c r="E205" i="28"/>
  <c r="D33" i="26"/>
  <c r="D94" i="25"/>
  <c r="D45" i="39"/>
  <c r="E225" i="28"/>
  <c r="E166" i="28"/>
  <c r="D172" i="24"/>
  <c r="D76" i="35"/>
  <c r="E98" i="24"/>
  <c r="D59" i="36"/>
  <c r="E35" i="33"/>
  <c r="E21" i="33"/>
  <c r="E158" i="25"/>
  <c r="D60" i="24"/>
  <c r="E10" i="38"/>
  <c r="E169" i="28"/>
  <c r="F90" i="27"/>
  <c r="G47" i="39"/>
  <c r="E23" i="38"/>
  <c r="E40" i="25"/>
  <c r="F71" i="27"/>
  <c r="D15" i="29"/>
  <c r="E41" i="28"/>
  <c r="D55" i="25"/>
  <c r="E72" i="24"/>
  <c r="E154" i="27"/>
  <c r="E24" i="27"/>
  <c r="D22" i="31"/>
  <c r="F65" i="27"/>
  <c r="E139" i="33"/>
  <c r="M12" i="41"/>
  <c r="E10" i="36"/>
  <c r="D48" i="32"/>
  <c r="D113" i="35"/>
  <c r="E151" i="28"/>
  <c r="D193" i="25"/>
  <c r="F105" i="27"/>
  <c r="E48" i="27"/>
  <c r="E250" i="24"/>
  <c r="D266" i="28"/>
  <c r="D263" i="24"/>
  <c r="E98" i="36"/>
  <c r="G34" i="26"/>
  <c r="E268" i="28"/>
  <c r="E11" i="38"/>
  <c r="E65" i="33"/>
  <c r="E123" i="36"/>
  <c r="D41" i="33"/>
  <c r="D71" i="33"/>
  <c r="S14" i="41"/>
  <c r="E64" i="28"/>
  <c r="D97" i="32"/>
  <c r="E188" i="25"/>
  <c r="D47" i="28"/>
  <c r="E85" i="24"/>
  <c r="E232" i="24"/>
  <c r="D22" i="28"/>
  <c r="E14" i="39"/>
  <c r="D117" i="24"/>
  <c r="D26" i="37"/>
  <c r="D273" i="28"/>
  <c r="D161" i="24"/>
  <c r="D56" i="25"/>
  <c r="D196" i="28"/>
  <c r="D138" i="28"/>
  <c r="E257" i="24"/>
  <c r="D48" i="25"/>
  <c r="E120" i="24"/>
  <c r="E44" i="28"/>
  <c r="E213" i="28"/>
  <c r="D62" i="35"/>
  <c r="D37" i="24"/>
  <c r="E164" i="25"/>
  <c r="E12" i="31"/>
  <c r="D207" i="28"/>
  <c r="D15" i="41"/>
  <c r="E67" i="36"/>
  <c r="E129" i="36"/>
  <c r="F78" i="27"/>
  <c r="E33" i="28"/>
  <c r="E35" i="27"/>
  <c r="D51" i="33"/>
  <c r="E11" i="31"/>
  <c r="D280" i="24"/>
  <c r="P33" i="39"/>
  <c r="E91" i="27"/>
  <c r="E97" i="28"/>
  <c r="D81" i="25"/>
  <c r="D288" i="24"/>
  <c r="E174" i="24"/>
  <c r="E71" i="27"/>
  <c r="S8" i="41"/>
  <c r="E96" i="28"/>
  <c r="E42" i="32"/>
  <c r="D100" i="28"/>
  <c r="E121" i="28"/>
  <c r="E181" i="25"/>
  <c r="E94" i="33"/>
  <c r="D171" i="24"/>
  <c r="D7" i="26"/>
  <c r="F94" i="27"/>
  <c r="D49" i="33"/>
  <c r="D279" i="24"/>
  <c r="E291" i="24"/>
  <c r="E21" i="36"/>
  <c r="E45" i="37"/>
  <c r="E76" i="25"/>
  <c r="D287" i="24"/>
  <c r="D34" i="28"/>
  <c r="D144" i="28"/>
  <c r="E131" i="24"/>
  <c r="D11" i="41"/>
  <c r="D67" i="25"/>
  <c r="D157" i="33"/>
  <c r="D58" i="24"/>
  <c r="P13" i="41"/>
  <c r="F48" i="27"/>
  <c r="E46" i="36"/>
  <c r="D112" i="25"/>
  <c r="E146" i="24"/>
  <c r="E186" i="24"/>
  <c r="G48" i="26"/>
  <c r="D4" i="31"/>
  <c r="E92" i="32"/>
  <c r="E222" i="28"/>
  <c r="E86" i="32"/>
  <c r="E23" i="28"/>
  <c r="D123" i="25"/>
  <c r="D23" i="31"/>
  <c r="E237" i="24"/>
  <c r="D35" i="37"/>
  <c r="J48" i="26"/>
  <c r="E18" i="37"/>
  <c r="E45" i="25"/>
  <c r="D43" i="24"/>
  <c r="E293" i="24"/>
  <c r="D115" i="24"/>
  <c r="D155" i="25"/>
  <c r="D19" i="38"/>
  <c r="D141" i="35"/>
  <c r="D68" i="33"/>
  <c r="D49" i="32"/>
  <c r="E38" i="27"/>
  <c r="D112" i="36"/>
  <c r="E177" i="28"/>
  <c r="D103" i="28"/>
  <c r="D114" i="28"/>
  <c r="D72" i="33"/>
  <c r="D162" i="25"/>
  <c r="E155" i="35"/>
  <c r="E74" i="25"/>
  <c r="E179" i="25"/>
  <c r="D41" i="26"/>
  <c r="E86" i="24"/>
  <c r="E32" i="33"/>
  <c r="E17" i="38"/>
  <c r="D79" i="36"/>
  <c r="D44" i="32"/>
  <c r="D6" i="41"/>
  <c r="D267" i="24"/>
  <c r="D24" i="32"/>
  <c r="P22" i="41"/>
  <c r="M49" i="39"/>
  <c r="E114" i="36"/>
  <c r="E127" i="27"/>
  <c r="M41" i="39"/>
  <c r="E163" i="28"/>
  <c r="D235" i="24"/>
  <c r="D20" i="35"/>
  <c r="D41" i="39"/>
  <c r="D32" i="28"/>
  <c r="D25" i="37"/>
  <c r="E176" i="28"/>
  <c r="E86" i="27"/>
  <c r="E100" i="36"/>
  <c r="S18" i="41"/>
  <c r="E94" i="36"/>
  <c r="D59" i="33"/>
  <c r="E21" i="27"/>
  <c r="D125" i="35"/>
  <c r="E142" i="24"/>
  <c r="D101" i="24"/>
  <c r="D174" i="25"/>
  <c r="AD176" i="25" s="1"/>
  <c r="D127" i="28"/>
  <c r="D122" i="25"/>
  <c r="G41" i="39"/>
  <c r="E98" i="25"/>
  <c r="D22" i="33"/>
  <c r="E119" i="33"/>
  <c r="E11" i="32"/>
  <c r="D86" i="35"/>
  <c r="D19" i="26"/>
  <c r="D75" i="36"/>
  <c r="D20" i="37"/>
  <c r="F149" i="27"/>
  <c r="D70" i="35"/>
  <c r="E20" i="37"/>
  <c r="D184" i="25"/>
  <c r="E68" i="36"/>
  <c r="D124" i="24"/>
  <c r="E65" i="25"/>
  <c r="D119" i="36"/>
  <c r="F147" i="27"/>
  <c r="E184" i="27"/>
  <c r="D149" i="35"/>
  <c r="E93" i="25"/>
  <c r="D69" i="32"/>
  <c r="E100" i="25"/>
  <c r="E182" i="25"/>
  <c r="E70" i="24"/>
  <c r="E16" i="33"/>
  <c r="E193" i="25"/>
  <c r="E104" i="27"/>
  <c r="E252" i="24"/>
  <c r="E46" i="27"/>
  <c r="G45" i="26"/>
  <c r="E172" i="28"/>
  <c r="E66" i="33"/>
  <c r="E229" i="28"/>
  <c r="D36" i="35"/>
  <c r="E87" i="33"/>
  <c r="D44" i="33"/>
  <c r="E7" i="33"/>
  <c r="D107" i="25"/>
  <c r="D145" i="28"/>
  <c r="D76" i="36"/>
  <c r="D75" i="32"/>
  <c r="D66" i="24"/>
  <c r="D86" i="28"/>
  <c r="D99" i="24"/>
  <c r="D31" i="28"/>
  <c r="D85" i="25"/>
  <c r="D96" i="25"/>
  <c r="E151" i="33"/>
  <c r="E134" i="25"/>
  <c r="D291" i="24"/>
  <c r="E75" i="25"/>
  <c r="E50" i="33"/>
  <c r="D110" i="25"/>
  <c r="D18" i="38"/>
  <c r="E92" i="24"/>
  <c r="D185" i="24"/>
  <c r="D15" i="36"/>
  <c r="E75" i="33"/>
  <c r="E79" i="32"/>
  <c r="E93" i="24"/>
  <c r="D52" i="25"/>
  <c r="E138" i="25"/>
  <c r="E72" i="27"/>
  <c r="E67" i="28"/>
  <c r="E151" i="27"/>
  <c r="E42" i="37"/>
  <c r="E267" i="24"/>
  <c r="G37" i="39"/>
  <c r="S13" i="41"/>
  <c r="D34" i="26"/>
  <c r="E37" i="33"/>
  <c r="E41" i="36"/>
  <c r="D229" i="28"/>
  <c r="J38" i="26"/>
  <c r="E139" i="35"/>
  <c r="E180" i="28"/>
  <c r="E189" i="25"/>
  <c r="J47" i="26"/>
  <c r="E10" i="31"/>
  <c r="E103" i="24"/>
  <c r="E7" i="38"/>
  <c r="D98" i="32"/>
  <c r="E101" i="24"/>
  <c r="D102" i="25"/>
  <c r="D74" i="24"/>
  <c r="D76" i="25"/>
  <c r="E132" i="25"/>
  <c r="E182" i="27"/>
  <c r="P50" i="39"/>
  <c r="D129" i="25"/>
  <c r="D119" i="24"/>
  <c r="E150" i="35"/>
  <c r="D9" i="39"/>
  <c r="D112" i="35"/>
  <c r="D16" i="35"/>
  <c r="D175" i="24"/>
  <c r="D163" i="25"/>
  <c r="J24" i="41"/>
  <c r="E283" i="24"/>
  <c r="E43" i="27"/>
  <c r="E59" i="36"/>
  <c r="E85" i="28"/>
  <c r="E101" i="25"/>
  <c r="D261" i="24"/>
  <c r="D13" i="38"/>
  <c r="E21" i="39"/>
  <c r="D90" i="33"/>
  <c r="E226" i="28"/>
  <c r="E32" i="24"/>
  <c r="E83" i="28"/>
  <c r="P8" i="41"/>
  <c r="E159" i="25"/>
  <c r="E65" i="24"/>
  <c r="D194" i="25"/>
  <c r="D126" i="25"/>
  <c r="E183" i="24"/>
  <c r="D14" i="36"/>
  <c r="J31" i="26"/>
  <c r="D62" i="32"/>
  <c r="F20" i="27"/>
  <c r="E50" i="24"/>
  <c r="D272" i="28"/>
  <c r="D255" i="28"/>
  <c r="D24" i="28"/>
  <c r="D46" i="25"/>
  <c r="D78" i="25"/>
  <c r="D4" i="41"/>
  <c r="D32" i="24"/>
  <c r="E148" i="33"/>
  <c r="S12" i="41"/>
  <c r="E70" i="27"/>
  <c r="D34" i="39"/>
  <c r="P20" i="41"/>
  <c r="D17" i="36"/>
  <c r="E46" i="33"/>
  <c r="G40" i="26"/>
  <c r="D12" i="39"/>
  <c r="D66" i="25"/>
  <c r="E25" i="37"/>
  <c r="D137" i="25"/>
  <c r="J17" i="41"/>
  <c r="D116" i="36"/>
  <c r="E122" i="36"/>
  <c r="D14" i="35"/>
  <c r="E284" i="28"/>
  <c r="E38" i="37"/>
  <c r="E50" i="27"/>
  <c r="E129" i="28"/>
  <c r="E88" i="28"/>
  <c r="E74" i="36"/>
  <c r="E50" i="32"/>
  <c r="E91" i="24"/>
  <c r="F123" i="27"/>
  <c r="E15" i="36"/>
  <c r="D65" i="37"/>
  <c r="D71" i="25"/>
  <c r="E40" i="37"/>
  <c r="E51" i="33"/>
  <c r="E99" i="33"/>
  <c r="D194" i="28"/>
  <c r="E156" i="24"/>
  <c r="D93" i="28"/>
  <c r="D38" i="26"/>
  <c r="E270" i="28"/>
  <c r="E172" i="24"/>
  <c r="D32" i="26"/>
  <c r="D227" i="28"/>
  <c r="E157" i="27"/>
  <c r="E62" i="28"/>
  <c r="D105" i="35"/>
  <c r="P17" i="41"/>
  <c r="D85" i="28"/>
  <c r="D128" i="36"/>
  <c r="E154" i="24"/>
  <c r="D45" i="32"/>
  <c r="D230" i="24"/>
  <c r="E48" i="33"/>
  <c r="D21" i="29"/>
  <c r="E48" i="37"/>
  <c r="D112" i="24"/>
  <c r="D125" i="36"/>
  <c r="P10" i="41"/>
  <c r="D92" i="35"/>
  <c r="F115" i="27"/>
  <c r="F91" i="27"/>
  <c r="D75" i="25"/>
  <c r="D258" i="28"/>
  <c r="E120" i="25"/>
  <c r="D283" i="28"/>
  <c r="E280" i="28"/>
  <c r="E34" i="27"/>
  <c r="F63" i="27"/>
  <c r="E174" i="27"/>
  <c r="D75" i="33"/>
  <c r="F49" i="27"/>
  <c r="E158" i="24"/>
  <c r="E93" i="28"/>
  <c r="D103" i="33"/>
  <c r="D41" i="28"/>
  <c r="D265" i="28"/>
  <c r="D271" i="28"/>
  <c r="E45" i="24"/>
  <c r="F47" i="27"/>
  <c r="E273" i="28"/>
  <c r="E52" i="25"/>
  <c r="E289" i="24"/>
  <c r="D101" i="35"/>
  <c r="D51" i="25"/>
  <c r="E127" i="28"/>
  <c r="D160" i="25"/>
  <c r="F25" i="27"/>
  <c r="D42" i="33"/>
  <c r="E54" i="25"/>
  <c r="D175" i="28"/>
  <c r="M21" i="41"/>
  <c r="D153" i="24"/>
  <c r="D183" i="24"/>
  <c r="D21" i="35"/>
  <c r="D64" i="32"/>
  <c r="D148" i="28"/>
  <c r="E63" i="24"/>
  <c r="D126" i="28"/>
  <c r="E288" i="24"/>
  <c r="D222" i="24"/>
  <c r="D126" i="33"/>
  <c r="E142" i="33"/>
  <c r="E97" i="36"/>
  <c r="D39" i="25"/>
  <c r="D199" i="28"/>
  <c r="D18" i="26"/>
  <c r="D90" i="24"/>
  <c r="D37" i="25"/>
  <c r="E9" i="33"/>
  <c r="E10" i="39"/>
  <c r="E20" i="32"/>
  <c r="E278" i="24"/>
  <c r="E69" i="33"/>
  <c r="E76" i="28"/>
  <c r="E58" i="24"/>
  <c r="D93" i="32"/>
  <c r="D179" i="28"/>
  <c r="E125" i="24"/>
  <c r="D36" i="39"/>
  <c r="E23" i="32"/>
  <c r="D132" i="24"/>
  <c r="E75" i="28"/>
  <c r="E147" i="25"/>
  <c r="E16" i="37"/>
  <c r="E99" i="28"/>
  <c r="E113" i="28"/>
  <c r="E93" i="32"/>
  <c r="J41" i="39"/>
  <c r="J6" i="41"/>
  <c r="D26" i="32"/>
  <c r="E233" i="28"/>
  <c r="F128" i="27"/>
  <c r="D72" i="28"/>
  <c r="D84" i="25"/>
  <c r="D32" i="37"/>
  <c r="D15" i="28"/>
  <c r="D207" i="24"/>
  <c r="J51" i="39"/>
  <c r="D12" i="29"/>
  <c r="D256" i="28"/>
  <c r="E36" i="27"/>
  <c r="D15" i="26"/>
  <c r="D147" i="35"/>
  <c r="D119" i="25"/>
  <c r="E121" i="33"/>
  <c r="D157" i="25"/>
  <c r="D37" i="32"/>
  <c r="E76" i="37"/>
  <c r="E280" i="24"/>
  <c r="J37" i="26"/>
  <c r="E72" i="28"/>
  <c r="D35" i="35"/>
  <c r="D67" i="28"/>
  <c r="E230" i="28"/>
  <c r="D69" i="25"/>
  <c r="D129" i="36"/>
  <c r="E200" i="28"/>
  <c r="F76" i="27"/>
  <c r="E227" i="24"/>
  <c r="E157" i="24"/>
  <c r="E49" i="28"/>
  <c r="E52" i="24"/>
  <c r="D77" i="36"/>
  <c r="F127" i="27"/>
  <c r="J4" i="41"/>
  <c r="E177" i="27"/>
  <c r="E25" i="32"/>
  <c r="E18" i="28"/>
  <c r="E125" i="33"/>
  <c r="E210" i="24"/>
  <c r="E130" i="25"/>
  <c r="D70" i="24"/>
  <c r="E254" i="24"/>
  <c r="D168" i="28"/>
  <c r="E63" i="27"/>
  <c r="E251" i="24"/>
  <c r="S5" i="41"/>
  <c r="E105" i="24"/>
  <c r="E169" i="24"/>
  <c r="D16" i="39"/>
  <c r="D16" i="31"/>
  <c r="E91" i="32"/>
  <c r="D244" i="28"/>
  <c r="E36" i="24"/>
  <c r="D69" i="35"/>
  <c r="E177" i="25"/>
  <c r="D105" i="32"/>
  <c r="D37" i="33"/>
  <c r="D19" i="39"/>
  <c r="E171" i="24"/>
  <c r="E181" i="24"/>
  <c r="E251" i="28"/>
  <c r="D285" i="28"/>
  <c r="D46" i="32"/>
  <c r="D74" i="28"/>
  <c r="E79" i="27"/>
  <c r="E19" i="36"/>
  <c r="E21" i="28"/>
  <c r="D122" i="24"/>
  <c r="E105" i="25"/>
  <c r="D9" i="41"/>
  <c r="D120" i="33"/>
  <c r="E103" i="33"/>
  <c r="F42" i="27"/>
  <c r="E71" i="33"/>
  <c r="D22" i="37"/>
  <c r="D37" i="26"/>
  <c r="E140" i="35"/>
  <c r="E26" i="39"/>
  <c r="E120" i="27"/>
  <c r="D125" i="28"/>
  <c r="D40" i="39"/>
  <c r="E59" i="28"/>
  <c r="E20" i="28"/>
  <c r="D126" i="36"/>
  <c r="D113" i="28"/>
  <c r="E77" i="28"/>
  <c r="D182" i="24"/>
  <c r="E114" i="24"/>
  <c r="D19" i="32"/>
  <c r="J5" i="41"/>
  <c r="G35" i="39"/>
  <c r="D18" i="31"/>
  <c r="E79" i="33"/>
  <c r="D100" i="35"/>
  <c r="E112" i="28"/>
  <c r="E132" i="36"/>
  <c r="F24" i="27"/>
  <c r="E203" i="28"/>
  <c r="E117" i="28"/>
  <c r="F122" i="27"/>
  <c r="D18" i="41"/>
  <c r="P11" i="41"/>
  <c r="D93" i="35"/>
  <c r="D79" i="35"/>
  <c r="E11" i="33"/>
  <c r="D11" i="35"/>
  <c r="E156" i="27"/>
  <c r="E50" i="25"/>
  <c r="E154" i="33"/>
  <c r="E221" i="28"/>
  <c r="G20" i="41"/>
  <c r="E87" i="36"/>
  <c r="E37" i="36"/>
  <c r="D20" i="28"/>
  <c r="G44" i="26"/>
  <c r="D46" i="39"/>
  <c r="E217" i="28"/>
  <c r="D38" i="35"/>
  <c r="E233" i="24"/>
  <c r="D94" i="33"/>
  <c r="D178" i="24"/>
  <c r="E244" i="28"/>
  <c r="D63" i="35"/>
  <c r="J39" i="26"/>
  <c r="D226" i="24"/>
  <c r="D61" i="32"/>
  <c r="D233" i="28"/>
  <c r="E148" i="25"/>
  <c r="E88" i="27"/>
  <c r="E8" i="31"/>
  <c r="E70" i="36"/>
  <c r="F97" i="27"/>
  <c r="E141" i="24"/>
  <c r="E159" i="24"/>
  <c r="D73" i="24"/>
  <c r="D50" i="26"/>
  <c r="D62" i="24"/>
  <c r="E16" i="36"/>
  <c r="D24" i="35"/>
  <c r="E121" i="36"/>
  <c r="E264" i="24"/>
  <c r="E98" i="32"/>
  <c r="J33" i="26"/>
  <c r="D45" i="28"/>
  <c r="D85" i="36"/>
  <c r="E135" i="28"/>
  <c r="D218" i="28"/>
  <c r="D147" i="24"/>
  <c r="D87" i="33"/>
  <c r="E88" i="24"/>
  <c r="D13" i="29"/>
  <c r="E46" i="28"/>
  <c r="D151" i="25"/>
  <c r="E115" i="24"/>
  <c r="E132" i="33"/>
  <c r="D33" i="36"/>
  <c r="S20" i="41"/>
  <c r="E281" i="24"/>
  <c r="E181" i="28"/>
  <c r="D40" i="24"/>
  <c r="E49" i="27"/>
  <c r="D16" i="26"/>
  <c r="D223" i="28"/>
  <c r="D78" i="24"/>
  <c r="E112" i="33"/>
  <c r="D83" i="25"/>
  <c r="E146" i="27"/>
  <c r="D98" i="33"/>
  <c r="D7" i="31"/>
  <c r="D153" i="28"/>
  <c r="D9" i="35"/>
  <c r="D78" i="33"/>
  <c r="E206" i="28"/>
  <c r="D63" i="24"/>
  <c r="E219" i="28"/>
  <c r="D121" i="36"/>
  <c r="E45" i="27"/>
  <c r="E189" i="28"/>
  <c r="D69" i="36"/>
  <c r="E13" i="38"/>
  <c r="E15" i="33"/>
  <c r="D39" i="28"/>
  <c r="E47" i="24"/>
  <c r="D124" i="36"/>
  <c r="E13" i="33"/>
  <c r="E249" i="28"/>
  <c r="E150" i="25"/>
  <c r="D10" i="35"/>
  <c r="D283" i="24"/>
  <c r="D38" i="36"/>
  <c r="D22" i="32"/>
  <c r="E117" i="33"/>
  <c r="F87" i="27"/>
  <c r="E20" i="39"/>
  <c r="E122" i="25"/>
  <c r="E22" i="38"/>
  <c r="D86" i="36"/>
  <c r="E8" i="33"/>
  <c r="D46" i="33"/>
  <c r="D61" i="37"/>
  <c r="D45" i="25"/>
  <c r="E113" i="27"/>
  <c r="D38" i="33"/>
  <c r="D140" i="28"/>
  <c r="D165" i="28"/>
  <c r="D95" i="33"/>
  <c r="D7" i="37"/>
  <c r="D114" i="24"/>
  <c r="E49" i="33"/>
  <c r="D79" i="37"/>
  <c r="E41" i="24"/>
  <c r="E102" i="27"/>
  <c r="G34" i="39"/>
  <c r="D14" i="38"/>
  <c r="D102" i="32"/>
  <c r="D83" i="28"/>
  <c r="D137" i="28"/>
  <c r="E225" i="24"/>
  <c r="D37" i="36"/>
  <c r="D16" i="38"/>
  <c r="D32" i="33"/>
  <c r="E234" i="24"/>
  <c r="E96" i="24"/>
  <c r="D47" i="35"/>
  <c r="E16" i="27"/>
  <c r="E194" i="25"/>
  <c r="D11" i="39"/>
  <c r="E278" i="28"/>
  <c r="E176" i="24"/>
  <c r="J20" i="41"/>
  <c r="D239" i="24"/>
  <c r="E119" i="27"/>
  <c r="E271" i="28"/>
  <c r="D156" i="25"/>
  <c r="E77" i="36"/>
  <c r="E85" i="25"/>
  <c r="E64" i="37"/>
  <c r="D39" i="37"/>
  <c r="D149" i="28"/>
  <c r="D210" i="24"/>
  <c r="E115" i="27"/>
  <c r="F101" i="27"/>
  <c r="D42" i="28"/>
  <c r="D130" i="33"/>
  <c r="M20" i="41"/>
  <c r="D91" i="28"/>
  <c r="D253" i="24"/>
  <c r="D143" i="24"/>
  <c r="E20" i="38"/>
  <c r="P16" i="41"/>
  <c r="D51" i="26"/>
  <c r="E128" i="27"/>
  <c r="D224" i="28"/>
  <c r="E59" i="37"/>
  <c r="E151" i="25"/>
  <c r="E209" i="24"/>
  <c r="E47" i="33"/>
  <c r="D99" i="36"/>
  <c r="E66" i="24"/>
  <c r="D58" i="28"/>
  <c r="E47" i="37"/>
  <c r="D131" i="24"/>
  <c r="P36" i="39"/>
  <c r="E231" i="24"/>
  <c r="E153" i="25"/>
  <c r="D36" i="36"/>
  <c r="E196" i="28"/>
  <c r="D66" i="33"/>
  <c r="D214" i="24"/>
  <c r="D150" i="33"/>
  <c r="E37" i="37"/>
  <c r="D78" i="32"/>
  <c r="D93" i="36"/>
  <c r="E95" i="25"/>
  <c r="D129" i="33"/>
  <c r="D7" i="38"/>
  <c r="E269" i="24"/>
  <c r="E228" i="24"/>
  <c r="D181" i="24"/>
  <c r="E96" i="32"/>
  <c r="E83" i="25"/>
  <c r="D14" i="41"/>
  <c r="E145" i="28"/>
  <c r="E259" i="24"/>
  <c r="D138" i="33"/>
  <c r="D90" i="28"/>
  <c r="D38" i="37"/>
  <c r="D160" i="24"/>
  <c r="D43" i="32"/>
  <c r="D7" i="29"/>
  <c r="D24" i="36"/>
  <c r="E32" i="37"/>
  <c r="E19" i="38"/>
  <c r="E149" i="33"/>
  <c r="D43" i="26"/>
  <c r="D154" i="25"/>
  <c r="D19" i="37"/>
  <c r="D201" i="28"/>
  <c r="D25" i="28"/>
  <c r="D278" i="24"/>
  <c r="D115" i="35"/>
  <c r="D130" i="35"/>
  <c r="D66" i="37"/>
  <c r="D64" i="28"/>
  <c r="F132" i="27"/>
  <c r="D139" i="28"/>
  <c r="D173" i="24"/>
  <c r="F15" i="27"/>
  <c r="D79" i="33"/>
  <c r="D128" i="25"/>
  <c r="D59" i="24"/>
  <c r="E238" i="24"/>
  <c r="E64" i="33"/>
  <c r="D50" i="33"/>
  <c r="D198" i="28"/>
  <c r="D46" i="35"/>
  <c r="D101" i="33"/>
  <c r="E166" i="25"/>
  <c r="E133" i="25"/>
  <c r="S7" i="41"/>
  <c r="D106" i="25"/>
  <c r="D75" i="24"/>
  <c r="E175" i="24"/>
  <c r="D17" i="41"/>
  <c r="D133" i="25"/>
  <c r="E80" i="27"/>
  <c r="F144" i="27"/>
  <c r="E155" i="25"/>
  <c r="S15" i="41"/>
  <c r="E140" i="28"/>
  <c r="E96" i="25"/>
  <c r="D281" i="24"/>
  <c r="F126" i="27"/>
  <c r="D183" i="25"/>
  <c r="D257" i="28"/>
  <c r="E10" i="37"/>
  <c r="E43" i="28"/>
  <c r="E7" i="36"/>
  <c r="D144" i="24"/>
  <c r="D70" i="33"/>
  <c r="F26" i="27"/>
  <c r="E279" i="28"/>
  <c r="D92" i="25"/>
  <c r="D157" i="35"/>
  <c r="E268" i="24"/>
  <c r="D228" i="24"/>
  <c r="E39" i="24"/>
  <c r="D130" i="24"/>
  <c r="F145" i="27"/>
  <c r="E37" i="27"/>
  <c r="D285" i="24"/>
  <c r="D35" i="36"/>
  <c r="E22" i="32"/>
  <c r="D60" i="33"/>
  <c r="E33" i="27"/>
  <c r="E124" i="24"/>
  <c r="D24" i="29"/>
  <c r="G46" i="26"/>
  <c r="E154" i="35"/>
  <c r="E15" i="38"/>
  <c r="M14" i="41"/>
  <c r="E55" i="25"/>
  <c r="E279" i="24"/>
  <c r="D45" i="33"/>
  <c r="D120" i="35"/>
  <c r="D176" i="24"/>
  <c r="D73" i="33"/>
  <c r="D145" i="35"/>
  <c r="E162" i="25"/>
  <c r="D151" i="24"/>
  <c r="D98" i="35"/>
  <c r="D64" i="24"/>
  <c r="D47" i="32"/>
  <c r="D120" i="24"/>
  <c r="D149" i="25"/>
  <c r="F22" i="27"/>
  <c r="D252" i="24"/>
  <c r="D25" i="35"/>
  <c r="D70" i="36"/>
  <c r="D256" i="24"/>
  <c r="D43" i="36"/>
  <c r="D52" i="39"/>
  <c r="D23" i="33"/>
  <c r="F79" i="27"/>
  <c r="E46" i="37"/>
  <c r="D163" i="28"/>
  <c r="E166" i="27"/>
  <c r="E24" i="38"/>
  <c r="D223" i="24"/>
  <c r="E71" i="25"/>
  <c r="E179" i="24"/>
  <c r="E22" i="28"/>
  <c r="E34" i="28"/>
  <c r="E19" i="32"/>
  <c r="D19" i="28"/>
  <c r="E236" i="24"/>
  <c r="E109" i="25"/>
  <c r="E282" i="24"/>
  <c r="E73" i="37"/>
  <c r="G38" i="26"/>
  <c r="J32" i="26"/>
  <c r="D150" i="28"/>
  <c r="E99" i="36"/>
  <c r="E298" i="24"/>
  <c r="E53" i="25"/>
  <c r="D115" i="36"/>
  <c r="E101" i="32"/>
  <c r="E42" i="33"/>
  <c r="D16" i="33"/>
  <c r="E89" i="24"/>
  <c r="E69" i="37"/>
  <c r="E155" i="28"/>
  <c r="D21" i="36"/>
  <c r="E40" i="33"/>
  <c r="D101" i="32"/>
  <c r="D42" i="26"/>
  <c r="E157" i="35"/>
  <c r="D204" i="28"/>
  <c r="D17" i="33"/>
  <c r="E69" i="25"/>
  <c r="E89" i="27"/>
  <c r="E129" i="25"/>
  <c r="D13" i="41"/>
  <c r="D33" i="28"/>
  <c r="D89" i="35"/>
  <c r="E75" i="36"/>
  <c r="M19" i="41"/>
  <c r="E186" i="25"/>
  <c r="D228" i="28"/>
  <c r="E65" i="36"/>
  <c r="D65" i="36"/>
  <c r="P49" i="39"/>
  <c r="D97" i="25"/>
  <c r="D295" i="24"/>
  <c r="E145" i="33"/>
  <c r="D20" i="31"/>
  <c r="G36" i="39"/>
  <c r="E156" i="33"/>
  <c r="E59" i="24"/>
  <c r="D77" i="37"/>
  <c r="P34" i="39"/>
  <c r="E113" i="33"/>
  <c r="D68" i="35"/>
  <c r="D161" i="25"/>
  <c r="D31" i="26"/>
  <c r="E23" i="27"/>
  <c r="P24" i="41"/>
  <c r="F33" i="27"/>
  <c r="D45" i="36"/>
  <c r="E101" i="28"/>
  <c r="F100" i="27"/>
  <c r="D5" i="41"/>
  <c r="D38" i="25"/>
  <c r="D100" i="33"/>
  <c r="D8" i="31"/>
  <c r="E47" i="27"/>
  <c r="D26" i="39"/>
  <c r="D118" i="36"/>
  <c r="D214" i="28"/>
  <c r="P45" i="39"/>
  <c r="E277" i="28"/>
  <c r="D90" i="35"/>
  <c r="D6" i="37"/>
  <c r="D9" i="37"/>
  <c r="D25" i="36"/>
  <c r="E181" i="27"/>
  <c r="P41" i="39"/>
  <c r="E255" i="28"/>
  <c r="D269" i="28"/>
  <c r="E146" i="28"/>
  <c r="E65" i="27"/>
  <c r="E100" i="28"/>
  <c r="D52" i="35"/>
  <c r="D103" i="25"/>
  <c r="E62" i="27"/>
  <c r="E267" i="28"/>
  <c r="D39" i="26"/>
  <c r="E42" i="28"/>
  <c r="D180" i="24"/>
  <c r="D35" i="33"/>
  <c r="E24" i="28"/>
  <c r="D53" i="32"/>
  <c r="E213" i="24"/>
  <c r="E90" i="36"/>
  <c r="D61" i="36"/>
  <c r="E151" i="35"/>
  <c r="D24" i="39"/>
  <c r="D179" i="24"/>
  <c r="E85" i="33"/>
  <c r="D118" i="28"/>
  <c r="E61" i="28"/>
  <c r="E33" i="37"/>
  <c r="D113" i="36"/>
  <c r="D232" i="28"/>
  <c r="E62" i="32"/>
  <c r="D59" i="28"/>
  <c r="E24" i="33"/>
  <c r="D255" i="24"/>
  <c r="F40" i="27"/>
  <c r="D167" i="25"/>
  <c r="E95" i="24"/>
  <c r="E224" i="28"/>
  <c r="E259" i="28"/>
  <c r="E114" i="27"/>
  <c r="D38" i="39"/>
  <c r="D51" i="28"/>
  <c r="J16" i="41"/>
  <c r="D102" i="28"/>
  <c r="S19" i="41"/>
  <c r="D17" i="26"/>
  <c r="E192" i="25"/>
  <c r="E126" i="25"/>
  <c r="D152" i="35"/>
  <c r="D20" i="41"/>
  <c r="D69" i="24"/>
  <c r="E38" i="24"/>
  <c r="G47" i="26"/>
  <c r="J49" i="39"/>
  <c r="D135" i="25"/>
  <c r="G51" i="39"/>
  <c r="M38" i="39"/>
  <c r="J42" i="39"/>
  <c r="F46" i="27"/>
  <c r="E31" i="28"/>
  <c r="E126" i="24"/>
  <c r="D35" i="28"/>
  <c r="D117" i="35"/>
  <c r="E124" i="28"/>
  <c r="D150" i="35"/>
  <c r="D74" i="37"/>
  <c r="E153" i="33"/>
  <c r="E167" i="28"/>
  <c r="E56" i="25"/>
  <c r="E33" i="33"/>
  <c r="E117" i="27"/>
  <c r="D152" i="28"/>
  <c r="S17" i="41"/>
  <c r="E149" i="28"/>
  <c r="E94" i="28"/>
  <c r="E122" i="33"/>
  <c r="E22" i="37"/>
  <c r="D36" i="28"/>
  <c r="D72" i="32"/>
  <c r="D127" i="35"/>
  <c r="F96" i="27"/>
  <c r="E153" i="35"/>
  <c r="E22" i="27"/>
  <c r="D65" i="28"/>
  <c r="E239" i="28"/>
  <c r="F35" i="27"/>
  <c r="D76" i="24"/>
  <c r="E187" i="24"/>
  <c r="D23" i="37"/>
  <c r="D118" i="33"/>
  <c r="D161" i="28"/>
  <c r="E91" i="36"/>
  <c r="D68" i="25"/>
  <c r="D19" i="29"/>
  <c r="E71" i="28"/>
  <c r="D112" i="33"/>
  <c r="D86" i="33"/>
  <c r="E100" i="33"/>
  <c r="D13" i="26"/>
  <c r="E115" i="28"/>
  <c r="D98" i="25"/>
  <c r="E36" i="36"/>
  <c r="E60" i="33"/>
  <c r="G17" i="41"/>
  <c r="D247" i="28"/>
  <c r="E276" i="28"/>
  <c r="E53" i="32"/>
  <c r="J35" i="26"/>
  <c r="D16" i="29"/>
  <c r="D66" i="32"/>
  <c r="J50" i="26"/>
  <c r="M13" i="41"/>
  <c r="D100" i="36"/>
  <c r="D21" i="41"/>
  <c r="E79" i="37"/>
  <c r="E37" i="28"/>
  <c r="D185" i="25"/>
  <c r="S11" i="41"/>
  <c r="D99" i="28"/>
  <c r="G7" i="41"/>
  <c r="E99" i="32"/>
  <c r="E241" i="28"/>
  <c r="E4" i="38"/>
  <c r="E57" i="28"/>
  <c r="D277" i="28"/>
  <c r="F140" i="27"/>
  <c r="D67" i="36"/>
  <c r="G18" i="41"/>
  <c r="E146" i="35"/>
  <c r="D125" i="24"/>
  <c r="E108" i="25"/>
  <c r="D99" i="25"/>
  <c r="D91" i="24"/>
  <c r="E148" i="35"/>
  <c r="E124" i="27"/>
  <c r="D197" i="28"/>
  <c r="E128" i="28"/>
  <c r="E121" i="24"/>
  <c r="D23" i="29"/>
  <c r="E51" i="25"/>
  <c r="D18" i="36"/>
  <c r="D75" i="35"/>
  <c r="D119" i="28"/>
  <c r="D122" i="36"/>
  <c r="J22" i="41"/>
  <c r="J51" i="26"/>
  <c r="E292" i="24"/>
  <c r="D36" i="32"/>
  <c r="D85" i="35"/>
  <c r="D8" i="37"/>
  <c r="E72" i="32"/>
  <c r="E35" i="24"/>
  <c r="D15" i="38"/>
  <c r="D293" i="24"/>
  <c r="E129" i="27"/>
  <c r="M51" i="39"/>
  <c r="D64" i="36"/>
  <c r="D63" i="33"/>
  <c r="E212" i="24"/>
  <c r="E69" i="32"/>
  <c r="E88" i="36"/>
  <c r="E17" i="39"/>
  <c r="E93" i="27"/>
  <c r="D242" i="24"/>
  <c r="E66" i="32"/>
  <c r="E150" i="33"/>
  <c r="D227" i="24"/>
  <c r="D252" i="28"/>
  <c r="P52" i="39"/>
  <c r="D12" i="37"/>
  <c r="E113" i="24"/>
  <c r="D254" i="24"/>
  <c r="D44" i="26"/>
  <c r="D66" i="35"/>
  <c r="D276" i="28"/>
  <c r="D99" i="35"/>
  <c r="P47" i="39"/>
  <c r="E12" i="37"/>
  <c r="D116" i="33"/>
  <c r="J46" i="26"/>
  <c r="D50" i="24"/>
  <c r="D217" i="28"/>
  <c r="S9" i="41"/>
  <c r="D47" i="26"/>
  <c r="E123" i="33"/>
  <c r="E120" i="36"/>
  <c r="P39" i="39"/>
  <c r="M18" i="41"/>
  <c r="D127" i="36"/>
  <c r="D77" i="24"/>
  <c r="E283" i="28"/>
  <c r="D260" i="24"/>
  <c r="E112" i="24"/>
  <c r="E128" i="33"/>
  <c r="D6" i="35"/>
  <c r="D12" i="31"/>
  <c r="D123" i="33"/>
  <c r="D40" i="25"/>
  <c r="D265" i="24"/>
  <c r="D121" i="25"/>
  <c r="D192" i="28"/>
  <c r="E136" i="25"/>
  <c r="E59" i="33"/>
  <c r="E39" i="28"/>
  <c r="E148" i="27"/>
  <c r="D193" i="28"/>
  <c r="E78" i="25"/>
  <c r="D50" i="25"/>
  <c r="D57" i="25"/>
  <c r="D146" i="28"/>
  <c r="F99" i="27"/>
  <c r="E67" i="25"/>
  <c r="S21" i="41"/>
  <c r="P7" i="41"/>
  <c r="E297" i="24"/>
  <c r="G33" i="39"/>
  <c r="D268" i="24"/>
  <c r="D67" i="24"/>
  <c r="F151" i="27"/>
  <c r="D18" i="29"/>
  <c r="E50" i="36"/>
  <c r="G14" i="41"/>
  <c r="D24" i="31"/>
  <c r="D221" i="28"/>
  <c r="D200" i="28"/>
  <c r="D9" i="36"/>
  <c r="D22" i="26"/>
  <c r="D6" i="36"/>
  <c r="D117" i="33"/>
  <c r="D20" i="32"/>
  <c r="E147" i="24"/>
  <c r="D51" i="37"/>
  <c r="E140" i="27"/>
  <c r="F131" i="27"/>
  <c r="E60" i="27"/>
  <c r="D34" i="35"/>
  <c r="D9" i="31"/>
  <c r="G4" i="41"/>
  <c r="D39" i="39"/>
  <c r="E116" i="36"/>
  <c r="E111" i="25"/>
  <c r="J44" i="26"/>
  <c r="G24" i="41"/>
  <c r="D39" i="36"/>
  <c r="D216" i="28"/>
  <c r="E216" i="28"/>
  <c r="E230" i="24"/>
  <c r="F148" i="27"/>
  <c r="E51" i="24"/>
  <c r="E97" i="24"/>
  <c r="G45" i="39"/>
  <c r="D164" i="28"/>
  <c r="D69" i="33"/>
  <c r="E7" i="39"/>
  <c r="E39" i="37"/>
  <c r="D61" i="28"/>
  <c r="D176" i="28"/>
  <c r="E156" i="25"/>
  <c r="E170" i="27"/>
  <c r="M43" i="39"/>
  <c r="D12" i="41"/>
  <c r="D38" i="24"/>
  <c r="E44" i="32"/>
  <c r="E184" i="25"/>
  <c r="D72" i="37"/>
  <c r="E36" i="37"/>
  <c r="E180" i="27"/>
  <c r="E150" i="27"/>
  <c r="D202" i="28"/>
  <c r="E125" i="36"/>
  <c r="E41" i="37"/>
  <c r="E39" i="32"/>
  <c r="E117" i="24"/>
  <c r="P15" i="41"/>
  <c r="D50" i="28"/>
  <c r="E173" i="24"/>
  <c r="D220" i="28"/>
  <c r="D157" i="24"/>
  <c r="E77" i="25"/>
  <c r="E13" i="36"/>
  <c r="E94" i="27"/>
  <c r="D92" i="28"/>
  <c r="D180" i="25"/>
  <c r="D121" i="35"/>
  <c r="F86" i="27"/>
  <c r="E193" i="28"/>
  <c r="E13" i="32"/>
  <c r="E138" i="28"/>
  <c r="E17" i="33"/>
  <c r="E262" i="24"/>
  <c r="D57" i="28"/>
  <c r="D6" i="31"/>
  <c r="E76" i="27"/>
  <c r="D50" i="37"/>
  <c r="E53" i="27"/>
  <c r="M5" i="41"/>
  <c r="D119" i="33"/>
  <c r="E164" i="27"/>
  <c r="D229" i="24"/>
  <c r="D45" i="37"/>
  <c r="D14" i="39"/>
  <c r="P42" i="39"/>
  <c r="E60" i="28"/>
  <c r="G39" i="39"/>
  <c r="D8" i="26"/>
  <c r="F103" i="27"/>
  <c r="D88" i="35"/>
  <c r="D191" i="25"/>
  <c r="J45" i="39"/>
  <c r="E105" i="33"/>
  <c r="E62" i="37"/>
  <c r="E118" i="36"/>
  <c r="E176" i="27"/>
  <c r="E252" i="28"/>
  <c r="D238" i="24"/>
  <c r="D128" i="33"/>
  <c r="E202" i="28"/>
  <c r="D33" i="39"/>
  <c r="D71" i="37"/>
  <c r="D151" i="28"/>
  <c r="F80" i="27"/>
  <c r="E165" i="27"/>
  <c r="P21" i="41"/>
  <c r="P6" i="41"/>
  <c r="D206" i="28"/>
  <c r="E122" i="28"/>
  <c r="E69" i="27"/>
  <c r="D71" i="36"/>
  <c r="D32" i="39"/>
  <c r="E147" i="35"/>
  <c r="D40" i="28"/>
  <c r="E130" i="27"/>
  <c r="F95" i="27"/>
  <c r="S10" i="41"/>
  <c r="E70" i="32"/>
  <c r="E141" i="33"/>
  <c r="G8" i="41"/>
  <c r="E25" i="33"/>
  <c r="D76" i="37"/>
  <c r="D154" i="35"/>
  <c r="D104" i="25"/>
  <c r="D10" i="29"/>
  <c r="E105" i="36"/>
  <c r="D131" i="36"/>
  <c r="D40" i="35"/>
  <c r="D96" i="35"/>
  <c r="E75" i="24"/>
  <c r="E117" i="36"/>
  <c r="D9" i="33"/>
  <c r="M47" i="39"/>
  <c r="D21" i="31"/>
  <c r="D132" i="36"/>
  <c r="E112" i="36"/>
  <c r="E87" i="32"/>
  <c r="E17" i="31"/>
  <c r="E220" i="28"/>
  <c r="E40" i="27"/>
  <c r="D64" i="35"/>
  <c r="D22" i="35"/>
  <c r="D60" i="32"/>
  <c r="E103" i="36"/>
  <c r="D42" i="24"/>
  <c r="E131" i="25"/>
  <c r="E145" i="24"/>
  <c r="D74" i="25"/>
  <c r="D40" i="26"/>
  <c r="E152" i="25"/>
  <c r="D151" i="33"/>
  <c r="D104" i="24"/>
  <c r="D11" i="37"/>
  <c r="P18" i="41"/>
  <c r="E71" i="24"/>
  <c r="F153" i="27"/>
  <c r="D71" i="32"/>
  <c r="D77" i="35"/>
  <c r="D87" i="28"/>
  <c r="G15" i="41"/>
  <c r="D87" i="36"/>
  <c r="D63" i="36"/>
  <c r="D42" i="36"/>
  <c r="D101" i="28"/>
  <c r="D111" i="25"/>
  <c r="E9" i="37"/>
  <c r="E286" i="24"/>
  <c r="D94" i="35"/>
  <c r="D8" i="35"/>
  <c r="D90" i="36"/>
  <c r="E6" i="33"/>
  <c r="D44" i="28"/>
  <c r="D34" i="32"/>
  <c r="D6" i="39"/>
  <c r="D39" i="35"/>
  <c r="M32" i="39"/>
  <c r="E168" i="24"/>
  <c r="G31" i="26"/>
  <c r="E60" i="36"/>
  <c r="E172" i="27"/>
  <c r="D41" i="35"/>
  <c r="D39" i="32"/>
  <c r="E79" i="36"/>
  <c r="S23" i="41"/>
  <c r="D231" i="24"/>
  <c r="E103" i="27"/>
  <c r="E191" i="28"/>
  <c r="D150" i="25"/>
  <c r="E64" i="36"/>
  <c r="F72" i="27"/>
  <c r="E150" i="28"/>
  <c r="D73" i="36"/>
  <c r="E204" i="28"/>
  <c r="D48" i="37"/>
  <c r="E37" i="32"/>
  <c r="D94" i="32"/>
  <c r="E92" i="28"/>
  <c r="E51" i="36"/>
  <c r="D249" i="24"/>
  <c r="D298" i="24"/>
  <c r="D10" i="26"/>
  <c r="E223" i="24"/>
  <c r="D128" i="35"/>
  <c r="F143" i="27"/>
  <c r="E188" i="28"/>
  <c r="E104" i="33"/>
  <c r="D211" i="24"/>
  <c r="D148" i="35"/>
  <c r="J7" i="41"/>
  <c r="D67" i="32"/>
  <c r="M44" i="39"/>
  <c r="E20" i="36"/>
  <c r="D159" i="24"/>
  <c r="E98" i="33"/>
  <c r="D51" i="35"/>
  <c r="F61" i="27"/>
  <c r="E16" i="39"/>
  <c r="D177" i="25"/>
  <c r="D258" i="24"/>
  <c r="E116" i="28"/>
  <c r="D18" i="37"/>
  <c r="D162" i="28"/>
  <c r="D118" i="35"/>
  <c r="J38" i="39"/>
  <c r="D280" i="28"/>
  <c r="E152" i="27"/>
  <c r="E21" i="32"/>
  <c r="E35" i="28"/>
  <c r="E26" i="32"/>
  <c r="D11" i="31"/>
  <c r="D68" i="32"/>
  <c r="D80" i="25"/>
  <c r="E152" i="35"/>
  <c r="D65" i="32"/>
  <c r="E201" i="28"/>
  <c r="P43" i="39"/>
  <c r="D225" i="28"/>
  <c r="D113" i="33"/>
  <c r="E170" i="28"/>
  <c r="E70" i="28"/>
  <c r="E78" i="33"/>
  <c r="D67" i="35"/>
  <c r="D20" i="33"/>
  <c r="E87" i="28"/>
  <c r="D131" i="25"/>
  <c r="E14" i="37"/>
  <c r="D7" i="39"/>
  <c r="E248" i="28"/>
  <c r="E77" i="24"/>
  <c r="D102" i="24"/>
  <c r="E77" i="27"/>
  <c r="D70" i="28"/>
  <c r="D13" i="37"/>
  <c r="D9" i="38"/>
  <c r="D124" i="33"/>
  <c r="E68" i="37"/>
  <c r="E206" i="24"/>
  <c r="E33" i="32"/>
  <c r="E139" i="28"/>
  <c r="D88" i="24"/>
  <c r="D111" i="28"/>
  <c r="D148" i="24"/>
  <c r="D103" i="35"/>
  <c r="D173" i="28"/>
  <c r="D246" i="28"/>
  <c r="D153" i="33"/>
  <c r="D13" i="36"/>
  <c r="D240" i="24"/>
  <c r="D113" i="24"/>
  <c r="E42" i="27"/>
  <c r="E147" i="33"/>
  <c r="M33" i="39"/>
  <c r="D230" i="28"/>
  <c r="E64" i="24"/>
  <c r="E22" i="31"/>
  <c r="D19" i="36"/>
  <c r="E101" i="27"/>
  <c r="D182" i="25"/>
  <c r="E149" i="25"/>
  <c r="D41" i="37"/>
  <c r="E158" i="27"/>
  <c r="J42" i="26"/>
  <c r="D47" i="24"/>
  <c r="D259" i="28"/>
  <c r="E69" i="28"/>
  <c r="D7" i="33"/>
  <c r="E266" i="24"/>
  <c r="E34" i="33"/>
  <c r="P35" i="39"/>
  <c r="D105" i="25"/>
  <c r="D170" i="24"/>
  <c r="D36" i="33"/>
  <c r="E101" i="33"/>
  <c r="E258" i="28"/>
  <c r="E102" i="25"/>
  <c r="D43" i="28"/>
  <c r="E94" i="25"/>
  <c r="D245" i="28"/>
  <c r="D22" i="41"/>
  <c r="J36" i="26"/>
  <c r="E40" i="28"/>
  <c r="D104" i="35"/>
  <c r="D40" i="32"/>
  <c r="E73" i="24"/>
  <c r="D88" i="32"/>
  <c r="E110" i="28"/>
  <c r="E78" i="24"/>
  <c r="F112" i="27"/>
  <c r="E104" i="36"/>
  <c r="D92" i="36"/>
  <c r="M9" i="41"/>
  <c r="E118" i="27"/>
  <c r="E116" i="27"/>
  <c r="F124" i="27"/>
  <c r="D128" i="24"/>
  <c r="D93" i="25"/>
  <c r="D222" i="28"/>
  <c r="D127" i="33"/>
  <c r="F36" i="27"/>
  <c r="E93" i="33"/>
  <c r="E128" i="36"/>
  <c r="D41" i="25"/>
  <c r="D170" i="28"/>
  <c r="D165" i="25"/>
  <c r="D47" i="39"/>
  <c r="D23" i="26"/>
  <c r="D60" i="28"/>
  <c r="D86" i="32"/>
  <c r="E114" i="28"/>
  <c r="P23" i="41"/>
  <c r="E74" i="33"/>
  <c r="D48" i="24"/>
  <c r="G19" i="41"/>
  <c r="E99" i="25"/>
  <c r="D15" i="31"/>
  <c r="E42" i="36"/>
  <c r="E113" i="36"/>
  <c r="D151" i="35"/>
  <c r="D61" i="33"/>
  <c r="E105" i="27"/>
  <c r="G40" i="39"/>
  <c r="E151" i="24"/>
  <c r="D62" i="36"/>
  <c r="F158" i="27"/>
  <c r="E43" i="36"/>
  <c r="M6" i="41"/>
  <c r="D78" i="36"/>
  <c r="E98" i="27"/>
  <c r="E43" i="32"/>
  <c r="E8" i="38"/>
  <c r="D46" i="26"/>
  <c r="E178" i="27"/>
  <c r="F70" i="27"/>
  <c r="E86" i="36"/>
  <c r="E124" i="33"/>
  <c r="M7" i="41"/>
  <c r="D17" i="29"/>
  <c r="F60" i="27"/>
  <c r="E69" i="36"/>
  <c r="E106" i="25"/>
  <c r="E131" i="27"/>
  <c r="E207" i="28"/>
  <c r="E9" i="38"/>
  <c r="E45" i="28"/>
  <c r="D78" i="35"/>
  <c r="E47" i="25"/>
  <c r="E180" i="25"/>
  <c r="D43" i="25"/>
  <c r="G10" i="41"/>
  <c r="D140" i="35"/>
  <c r="E78" i="27"/>
  <c r="E8" i="36"/>
  <c r="D155" i="33"/>
  <c r="D79" i="32"/>
  <c r="D142" i="33"/>
  <c r="D77" i="25"/>
  <c r="E20" i="33"/>
  <c r="F43" i="27"/>
  <c r="D132" i="25"/>
  <c r="D120" i="28"/>
  <c r="E155" i="33"/>
  <c r="D48" i="26"/>
  <c r="E41" i="33"/>
  <c r="E90" i="32"/>
  <c r="E69" i="24"/>
  <c r="D274" i="28"/>
  <c r="F98" i="27"/>
  <c r="D19" i="31"/>
  <c r="E148" i="28"/>
  <c r="E95" i="27"/>
  <c r="D120" i="36"/>
  <c r="D153" i="35"/>
  <c r="E89" i="36"/>
  <c r="D12" i="28"/>
  <c r="E105" i="32"/>
  <c r="E52" i="37"/>
  <c r="D63" i="32"/>
  <c r="D65" i="24"/>
  <c r="D237" i="24"/>
  <c r="E20" i="31"/>
  <c r="E72" i="36"/>
  <c r="D100" i="32"/>
  <c r="D101" i="36"/>
  <c r="E253" i="28"/>
  <c r="E84" i="25"/>
  <c r="E37" i="25"/>
  <c r="E19" i="28"/>
  <c r="G42" i="39"/>
  <c r="D97" i="24"/>
  <c r="E118" i="24"/>
  <c r="E32" i="36"/>
  <c r="E147" i="27"/>
  <c r="D158" i="25"/>
  <c r="E119" i="28"/>
  <c r="D77" i="28"/>
  <c r="E215" i="24"/>
  <c r="E34" i="24"/>
  <c r="E96" i="36"/>
  <c r="D26" i="33"/>
  <c r="E48" i="28"/>
  <c r="E162" i="28"/>
  <c r="D49" i="37"/>
  <c r="F117" i="27"/>
  <c r="E11" i="37"/>
  <c r="E164" i="28"/>
  <c r="E137" i="25"/>
  <c r="E187" i="28"/>
  <c r="E123" i="24"/>
  <c r="E96" i="27"/>
  <c r="D125" i="33"/>
  <c r="E296" i="24"/>
  <c r="E23" i="36"/>
  <c r="D264" i="24"/>
  <c r="D67" i="33"/>
  <c r="E34" i="32"/>
  <c r="D23" i="39"/>
  <c r="D89" i="33"/>
  <c r="D5" i="29"/>
  <c r="E57" i="25"/>
  <c r="E26" i="27"/>
  <c r="D46" i="28"/>
  <c r="E136" i="28"/>
  <c r="E135" i="25"/>
  <c r="D25" i="33"/>
  <c r="D130" i="25"/>
  <c r="D104" i="32"/>
  <c r="D52" i="32"/>
  <c r="D106" i="32"/>
  <c r="D94" i="28"/>
  <c r="E146" i="33"/>
  <c r="D143" i="33"/>
  <c r="E74" i="37"/>
  <c r="D15" i="39"/>
  <c r="D131" i="33"/>
  <c r="E183" i="25"/>
  <c r="D8" i="29"/>
  <c r="D23" i="41"/>
  <c r="M15" i="41"/>
  <c r="D129" i="35"/>
  <c r="D4" i="38"/>
  <c r="J9" i="41"/>
  <c r="F106" i="27"/>
  <c r="D22" i="39"/>
  <c r="E45" i="33"/>
  <c r="E158" i="33"/>
  <c r="E131" i="36"/>
  <c r="D129" i="28"/>
  <c r="E115" i="33"/>
  <c r="D50" i="35"/>
  <c r="D124" i="25"/>
  <c r="E160" i="24"/>
  <c r="F77" i="27"/>
  <c r="D10" i="33"/>
  <c r="D6" i="29"/>
  <c r="D290" i="24"/>
  <c r="E52" i="27"/>
  <c r="E125" i="28"/>
  <c r="D179" i="25"/>
  <c r="E143" i="33"/>
  <c r="E101" i="36"/>
  <c r="D20" i="29"/>
  <c r="E13" i="31"/>
  <c r="E23" i="37"/>
  <c r="D109" i="25"/>
  <c r="D32" i="36"/>
  <c r="E61" i="33"/>
  <c r="D10" i="39"/>
  <c r="D146" i="24"/>
  <c r="E12" i="38"/>
  <c r="E120" i="33"/>
  <c r="E104" i="25"/>
  <c r="E44" i="36"/>
  <c r="E64" i="27"/>
  <c r="F118" i="27"/>
  <c r="F125" i="27"/>
  <c r="D11" i="36"/>
  <c r="G13" i="41"/>
  <c r="D13" i="39"/>
  <c r="F74" i="27"/>
  <c r="M50" i="39"/>
  <c r="F88" i="27"/>
  <c r="E178" i="25"/>
  <c r="E145" i="35"/>
  <c r="E71" i="32"/>
  <c r="D74" i="32"/>
  <c r="E194" i="28"/>
  <c r="D167" i="28"/>
  <c r="J19" i="41"/>
  <c r="D49" i="28"/>
  <c r="D138" i="35"/>
  <c r="P37" i="39"/>
  <c r="D66" i="36"/>
  <c r="D35" i="32"/>
  <c r="E45" i="32"/>
  <c r="D148" i="33"/>
  <c r="D9" i="26"/>
  <c r="D144" i="33"/>
  <c r="E67" i="27"/>
  <c r="E121" i="25"/>
  <c r="D152" i="33"/>
  <c r="E161" i="25"/>
  <c r="D97" i="35"/>
  <c r="E198" i="28"/>
  <c r="E152" i="24"/>
  <c r="M42" i="39"/>
  <c r="E60" i="24"/>
  <c r="E36" i="28"/>
  <c r="D8" i="33"/>
  <c r="D25" i="26"/>
  <c r="D139" i="35"/>
  <c r="D123" i="28"/>
  <c r="D103" i="24"/>
  <c r="F38" i="27"/>
  <c r="D34" i="36"/>
  <c r="F139" i="27"/>
  <c r="D243" i="28"/>
  <c r="D177" i="28"/>
  <c r="D105" i="33"/>
  <c r="D118" i="24"/>
  <c r="D6" i="33"/>
  <c r="D156" i="35"/>
  <c r="D89" i="36"/>
  <c r="M45" i="39"/>
  <c r="E92" i="36"/>
  <c r="G36" i="26"/>
  <c r="D7" i="35"/>
  <c r="E112" i="25"/>
  <c r="E26" i="33"/>
  <c r="E130" i="24"/>
  <c r="D20" i="36"/>
  <c r="E50" i="28"/>
  <c r="E18" i="39"/>
  <c r="D20" i="38"/>
  <c r="D70" i="25"/>
  <c r="F69" i="27"/>
  <c r="D154" i="28"/>
  <c r="E144" i="35"/>
  <c r="D97" i="33"/>
  <c r="E169" i="27"/>
  <c r="D7" i="41"/>
  <c r="D43" i="33"/>
  <c r="D44" i="25"/>
  <c r="E192" i="28"/>
  <c r="D95" i="28"/>
  <c r="D132" i="33"/>
  <c r="D89" i="28"/>
  <c r="E63" i="28"/>
  <c r="E176" i="25"/>
  <c r="F130" i="27"/>
  <c r="D69" i="37"/>
  <c r="D250" i="24"/>
  <c r="E38" i="28"/>
  <c r="P19" i="41"/>
  <c r="E111" i="28"/>
  <c r="E208" i="24"/>
  <c r="F51" i="27"/>
  <c r="P44" i="39"/>
  <c r="E77" i="33"/>
  <c r="E243" i="28"/>
  <c r="E118" i="28"/>
  <c r="D38" i="28"/>
  <c r="D102" i="33"/>
  <c r="D141" i="28"/>
  <c r="D125" i="25"/>
  <c r="D215" i="28"/>
  <c r="E65" i="32"/>
  <c r="F39" i="27"/>
  <c r="E39" i="33"/>
  <c r="E137" i="28"/>
  <c r="D23" i="38"/>
  <c r="E144" i="24"/>
  <c r="D52" i="36"/>
  <c r="E247" i="28"/>
  <c r="D89" i="32"/>
  <c r="M17" i="41"/>
  <c r="D48" i="33"/>
  <c r="D12" i="38"/>
  <c r="D77" i="32"/>
  <c r="E24" i="37"/>
  <c r="M10" i="41"/>
  <c r="D41" i="32"/>
  <c r="E78" i="32"/>
  <c r="E76" i="36"/>
  <c r="D225" i="24"/>
  <c r="E92" i="27"/>
  <c r="D139" i="33"/>
  <c r="M16" i="41"/>
  <c r="E179" i="27"/>
  <c r="G43" i="39"/>
  <c r="D115" i="33"/>
  <c r="D5" i="28"/>
  <c r="E49" i="36"/>
  <c r="D20" i="26"/>
  <c r="E43" i="33"/>
  <c r="E92" i="33"/>
  <c r="G52" i="39"/>
  <c r="E228" i="28"/>
  <c r="D26" i="35"/>
  <c r="D21" i="32"/>
  <c r="D15" i="35"/>
  <c r="E144" i="27"/>
  <c r="D145" i="24"/>
  <c r="E178" i="28"/>
  <c r="E119" i="36"/>
  <c r="E95" i="33"/>
  <c r="D50" i="39"/>
  <c r="J43" i="26"/>
  <c r="D116" i="28"/>
  <c r="E4" i="31"/>
  <c r="E17" i="27"/>
  <c r="E25" i="36"/>
  <c r="J45" i="26"/>
  <c r="D188" i="24"/>
  <c r="E132" i="24"/>
  <c r="D143" i="35"/>
  <c r="E62" i="36"/>
  <c r="E79" i="25"/>
  <c r="E22" i="33"/>
  <c r="E62" i="33"/>
  <c r="D275" i="28"/>
  <c r="D33" i="24"/>
  <c r="D73" i="35"/>
  <c r="D236" i="24"/>
  <c r="E241" i="24"/>
  <c r="D100" i="24"/>
  <c r="E97" i="32"/>
  <c r="D141" i="33"/>
  <c r="E149" i="27"/>
  <c r="E87" i="24"/>
  <c r="D123" i="36"/>
  <c r="E107" i="25"/>
  <c r="D250" i="28"/>
  <c r="E281" i="28"/>
  <c r="D34" i="33"/>
  <c r="J36" i="39"/>
  <c r="D48" i="36"/>
  <c r="D168" i="24"/>
  <c r="E41" i="25"/>
  <c r="D172" i="28"/>
  <c r="E18" i="33"/>
  <c r="D50" i="36"/>
  <c r="E72" i="25"/>
  <c r="G23" i="41"/>
  <c r="D98" i="36"/>
  <c r="D147" i="28"/>
  <c r="D11" i="33"/>
  <c r="F141" i="27"/>
  <c r="E36" i="33"/>
  <c r="D19" i="35"/>
  <c r="D16" i="36"/>
  <c r="D7" i="36"/>
  <c r="E86" i="33"/>
  <c r="E46" i="25"/>
  <c r="E13" i="39"/>
  <c r="E265" i="24"/>
  <c r="D43" i="37"/>
  <c r="D72" i="36"/>
  <c r="D76" i="32"/>
  <c r="D46" i="36"/>
  <c r="F41" i="27"/>
  <c r="E119" i="25"/>
  <c r="D104" i="36"/>
  <c r="E68" i="28"/>
  <c r="D97" i="28"/>
  <c r="J37" i="39"/>
  <c r="E98" i="28"/>
  <c r="E21" i="37"/>
  <c r="J34" i="39"/>
  <c r="D10" i="37"/>
  <c r="E138" i="33"/>
  <c r="E215" i="28"/>
  <c r="E35" i="32"/>
  <c r="D89" i="24"/>
  <c r="F44" i="27"/>
  <c r="E68" i="27"/>
  <c r="D99" i="33"/>
  <c r="D17" i="35"/>
  <c r="E76" i="33"/>
  <c r="D88" i="28"/>
  <c r="F157" i="27"/>
  <c r="E132" i="27"/>
  <c r="D48" i="39"/>
  <c r="D176" i="25"/>
  <c r="D26" i="26"/>
  <c r="D123" i="35"/>
  <c r="E77" i="32"/>
  <c r="D171" i="28"/>
  <c r="D259" i="24"/>
  <c r="E51" i="32"/>
  <c r="D68" i="37"/>
  <c r="F146" i="27"/>
  <c r="E287" i="24"/>
  <c r="D257" i="24"/>
  <c r="E232" i="28"/>
  <c r="D94" i="24"/>
  <c r="D169" i="24"/>
  <c r="E126" i="27"/>
  <c r="D144" i="35"/>
  <c r="G49" i="39"/>
  <c r="E81" i="25"/>
  <c r="E153" i="27"/>
  <c r="E106" i="32"/>
  <c r="E103" i="28"/>
  <c r="E254" i="28"/>
  <c r="D47" i="37"/>
  <c r="D24" i="38"/>
  <c r="D192" i="25"/>
  <c r="E61" i="27"/>
  <c r="D22" i="29"/>
  <c r="D48" i="28"/>
  <c r="S16" i="41"/>
  <c r="D95" i="24"/>
  <c r="E263" i="24"/>
  <c r="D5" i="38"/>
  <c r="D73" i="25"/>
  <c r="J35" i="39"/>
  <c r="E190" i="28"/>
  <c r="E49" i="25"/>
  <c r="E144" i="28"/>
  <c r="E9" i="39"/>
  <c r="G11" i="41"/>
  <c r="P32" i="39"/>
  <c r="E122" i="24"/>
  <c r="F150" i="27"/>
  <c r="G35" i="26"/>
  <c r="D140" i="33"/>
  <c r="E51" i="27"/>
  <c r="E67" i="32"/>
  <c r="E22" i="39"/>
  <c r="D284" i="28"/>
  <c r="J34" i="26"/>
  <c r="E26" i="36"/>
  <c r="D45" i="35"/>
  <c r="D213" i="28"/>
  <c r="D158" i="33"/>
  <c r="D94" i="36"/>
  <c r="D79" i="25"/>
  <c r="E18" i="36"/>
  <c r="E143" i="35"/>
  <c r="F93" i="27"/>
  <c r="E35" i="36"/>
  <c r="E75" i="27"/>
  <c r="D121" i="24"/>
  <c r="E165" i="28"/>
  <c r="D44" i="37"/>
  <c r="D68" i="28"/>
  <c r="E73" i="36"/>
  <c r="D14" i="37"/>
  <c r="D155" i="35"/>
  <c r="E16" i="38"/>
  <c r="P51" i="39"/>
  <c r="E73" i="32"/>
  <c r="D62" i="37"/>
  <c r="D85" i="33"/>
  <c r="D114" i="36"/>
  <c r="E165" i="25"/>
  <c r="E246" i="28"/>
  <c r="F138" i="27"/>
  <c r="E17" i="37"/>
  <c r="D138" i="25"/>
  <c r="D95" i="36"/>
  <c r="E88" i="33"/>
  <c r="E32" i="28"/>
  <c r="E74" i="27"/>
  <c r="M22" i="41"/>
  <c r="E16" i="32"/>
  <c r="D206" i="24"/>
  <c r="E68" i="25"/>
  <c r="D6" i="38"/>
  <c r="E223" i="28"/>
  <c r="D5" i="31"/>
  <c r="D15" i="33"/>
  <c r="D60" i="36"/>
  <c r="D62" i="28"/>
  <c r="D148" i="25"/>
  <c r="E25" i="39"/>
  <c r="M46" i="39"/>
  <c r="E102" i="36"/>
  <c r="E46" i="32"/>
  <c r="D11" i="38"/>
  <c r="D73" i="37"/>
  <c r="E142" i="27"/>
  <c r="D92" i="33"/>
  <c r="M34" i="39"/>
  <c r="E94" i="32"/>
  <c r="J46" i="39"/>
  <c r="D21" i="28"/>
  <c r="E250" i="28"/>
  <c r="D117" i="28"/>
  <c r="D166" i="28"/>
  <c r="D153" i="25"/>
  <c r="E6" i="37"/>
  <c r="D131" i="35"/>
  <c r="F102" i="27"/>
  <c r="E66" i="28"/>
  <c r="D248" i="28"/>
  <c r="D96" i="24"/>
  <c r="E74" i="24"/>
  <c r="E21" i="38"/>
  <c r="D96" i="36"/>
  <c r="D48" i="35"/>
  <c r="M39" i="39"/>
  <c r="D282" i="28"/>
  <c r="D8" i="38"/>
  <c r="E235" i="24"/>
  <c r="E118" i="33"/>
  <c r="G38" i="39"/>
  <c r="D115" i="28"/>
  <c r="D249" i="28"/>
  <c r="D297" i="24"/>
  <c r="D16" i="41"/>
  <c r="G41" i="26"/>
  <c r="D231" i="28"/>
  <c r="F34" i="27"/>
  <c r="J33" i="39"/>
  <c r="F53" i="27"/>
  <c r="D84" i="28"/>
  <c r="P40" i="39"/>
  <c r="E95" i="32"/>
  <c r="D156" i="33"/>
  <c r="E258" i="24"/>
  <c r="P4" i="41"/>
  <c r="E129" i="33"/>
  <c r="E15" i="37"/>
  <c r="G21" i="41"/>
  <c r="D123" i="24"/>
  <c r="D10" i="38"/>
  <c r="J14" i="41"/>
  <c r="D44" i="35"/>
  <c r="D114" i="33"/>
  <c r="D45" i="24"/>
  <c r="D74" i="33"/>
  <c r="D120" i="25"/>
  <c r="D96" i="28"/>
  <c r="D226" i="28"/>
  <c r="E170" i="24"/>
  <c r="D49" i="39"/>
  <c r="D187" i="28"/>
  <c r="D219" i="28"/>
  <c r="D105" i="36"/>
  <c r="E173" i="27"/>
  <c r="D11" i="26"/>
  <c r="D105" i="24"/>
  <c r="D91" i="32"/>
  <c r="D21" i="38"/>
  <c r="D87" i="35"/>
  <c r="D136" i="25"/>
  <c r="D72" i="25"/>
  <c r="E58" i="28"/>
  <c r="E11" i="39"/>
  <c r="E214" i="24"/>
  <c r="E103" i="32"/>
  <c r="D95" i="35"/>
  <c r="F50" i="27"/>
  <c r="E161" i="28"/>
  <c r="E48" i="36"/>
  <c r="E51" i="28"/>
  <c r="E274" i="28"/>
  <c r="D187" i="25"/>
  <c r="E90" i="33"/>
  <c r="E158" i="35"/>
  <c r="D82" i="25"/>
  <c r="D72" i="24"/>
  <c r="E285" i="24"/>
  <c r="E153" i="28"/>
  <c r="D25" i="32"/>
  <c r="D72" i="35"/>
  <c r="D116" i="24"/>
  <c r="D22" i="38"/>
  <c r="D51" i="24"/>
  <c r="D119" i="35"/>
  <c r="E19" i="33"/>
  <c r="G33" i="26"/>
  <c r="E74" i="28"/>
  <c r="E129" i="24"/>
  <c r="D262" i="24"/>
  <c r="D40" i="36"/>
  <c r="E15" i="39"/>
  <c r="D254" i="28"/>
  <c r="E218" i="28"/>
  <c r="F21" i="27"/>
  <c r="E142" i="28"/>
  <c r="S24" i="41"/>
  <c r="E36" i="32"/>
  <c r="D110" i="28"/>
  <c r="D281" i="28"/>
  <c r="D20" i="39"/>
  <c r="E66" i="36"/>
  <c r="F119" i="27"/>
  <c r="E61" i="32"/>
  <c r="D21" i="26"/>
  <c r="E52" i="32"/>
  <c r="J43" i="39"/>
  <c r="E148" i="24"/>
  <c r="D34" i="24"/>
  <c r="D42" i="32"/>
  <c r="E124" i="25"/>
  <c r="D25" i="39"/>
  <c r="D33" i="35"/>
  <c r="D91" i="35"/>
  <c r="E39" i="27"/>
  <c r="E65" i="28"/>
  <c r="E185" i="24"/>
  <c r="F116" i="27"/>
  <c r="D60" i="35"/>
  <c r="D128" i="28"/>
  <c r="D129" i="24"/>
  <c r="S4" i="41"/>
  <c r="D121" i="33"/>
  <c r="D77" i="33"/>
  <c r="E11" i="36"/>
  <c r="E84" i="28"/>
  <c r="D104" i="33"/>
  <c r="D46" i="37"/>
  <c r="F45" i="27"/>
  <c r="D46" i="24"/>
  <c r="G16" i="41"/>
  <c r="E47" i="32"/>
  <c r="E154" i="25"/>
  <c r="D205" i="28"/>
  <c r="E49" i="37"/>
  <c r="D42" i="25"/>
  <c r="E12" i="39"/>
  <c r="D88" i="36"/>
  <c r="E175" i="25"/>
  <c r="E167" i="27"/>
  <c r="D156" i="24"/>
  <c r="E109" i="28"/>
  <c r="E174" i="25"/>
  <c r="E115" i="36"/>
  <c r="E100" i="32"/>
  <c r="F67" i="27"/>
  <c r="D42" i="39"/>
  <c r="E24" i="32"/>
  <c r="D73" i="28"/>
  <c r="D239" i="28"/>
  <c r="D13" i="31"/>
  <c r="F154" i="27"/>
  <c r="E114" i="33"/>
  <c r="E33" i="36"/>
  <c r="E290" i="24"/>
  <c r="E102" i="28"/>
  <c r="G12" i="41"/>
  <c r="D62" i="33"/>
  <c r="E18" i="38"/>
  <c r="D135" i="28"/>
  <c r="E6" i="39"/>
  <c r="J10" i="41"/>
  <c r="D10" i="36"/>
  <c r="D136" i="28"/>
  <c r="E171" i="27"/>
  <c r="D241" i="28"/>
  <c r="M23" i="41"/>
  <c r="M11" i="41"/>
  <c r="D146" i="35"/>
  <c r="E127" i="33"/>
  <c r="D109" i="28"/>
  <c r="J41" i="26"/>
  <c r="F129" i="27"/>
  <c r="D51" i="36"/>
  <c r="D49" i="25"/>
  <c r="E80" i="32"/>
  <c r="E19" i="39"/>
  <c r="D74" i="36"/>
  <c r="E157" i="25"/>
  <c r="D41" i="36"/>
  <c r="F114" i="27"/>
  <c r="E86" i="28"/>
  <c r="E179" i="28"/>
  <c r="D90" i="32"/>
  <c r="E15" i="31"/>
  <c r="E67" i="37"/>
  <c r="E25" i="27"/>
  <c r="M40" i="39"/>
  <c r="E93" i="36"/>
  <c r="E103" i="25"/>
  <c r="E8" i="37"/>
  <c r="E41" i="27"/>
  <c r="D9" i="29"/>
  <c r="D8" i="39"/>
  <c r="J40" i="39"/>
  <c r="D127" i="24"/>
  <c r="E185" i="25"/>
  <c r="E139" i="27"/>
  <c r="E140" i="33"/>
  <c r="E282" i="28"/>
  <c r="D112" i="28"/>
  <c r="E130" i="36"/>
  <c r="F75" i="27"/>
  <c r="D19" i="33"/>
  <c r="E80" i="25"/>
  <c r="E147" i="28"/>
  <c r="D184" i="24"/>
  <c r="D68" i="36"/>
  <c r="F68" i="27"/>
  <c r="G32" i="39"/>
  <c r="D215" i="24"/>
  <c r="E256" i="24"/>
  <c r="E6" i="31"/>
  <c r="M8" i="41"/>
  <c r="E6" i="38"/>
  <c r="E242" i="24"/>
  <c r="E90" i="28"/>
  <c r="D130" i="36"/>
  <c r="P48" i="39"/>
  <c r="E65" i="37"/>
  <c r="D91" i="33"/>
  <c r="D117" i="36"/>
  <c r="D95" i="25"/>
  <c r="D63" i="28"/>
  <c r="D33" i="32"/>
  <c r="E44" i="27"/>
  <c r="D188" i="28"/>
  <c r="M48" i="39"/>
  <c r="D88" i="33"/>
  <c r="E168" i="28"/>
  <c r="E63" i="32"/>
  <c r="E149" i="35"/>
  <c r="D147" i="25"/>
  <c r="D17" i="31"/>
  <c r="D159" i="25"/>
  <c r="E38" i="33"/>
  <c r="E188" i="24"/>
  <c r="E15" i="32"/>
  <c r="E78" i="36"/>
  <c r="D268" i="28"/>
  <c r="E123" i="28"/>
  <c r="D61" i="35"/>
  <c r="D108" i="25"/>
  <c r="E285" i="28"/>
  <c r="D8" i="41"/>
  <c r="D124" i="35"/>
  <c r="D164" i="25"/>
  <c r="E143" i="27"/>
  <c r="D122" i="28"/>
  <c r="E106" i="27"/>
  <c r="E155" i="27"/>
  <c r="D80" i="32"/>
  <c r="E67" i="33"/>
  <c r="D98" i="28"/>
  <c r="E40" i="32"/>
  <c r="E139" i="25"/>
  <c r="E191" i="25"/>
  <c r="D279" i="28"/>
  <c r="D40" i="37"/>
  <c r="D47" i="25"/>
  <c r="E6" i="36"/>
  <c r="D278" i="28"/>
  <c r="J39" i="39"/>
  <c r="F66" i="27"/>
  <c r="E70" i="37"/>
  <c r="D149" i="24"/>
  <c r="E24" i="31"/>
  <c r="F64" i="27"/>
  <c r="E142" i="35"/>
  <c r="E26" i="37"/>
  <c r="E190" i="25"/>
  <c r="E71" i="37"/>
  <c r="D181" i="28"/>
  <c r="E68" i="24"/>
  <c r="D51" i="32"/>
  <c r="D76" i="33"/>
  <c r="E68" i="32"/>
  <c r="D16" i="37"/>
  <c r="E45" i="36"/>
  <c r="S6" i="41"/>
  <c r="D36" i="37"/>
  <c r="D122" i="33"/>
  <c r="F73" i="27"/>
  <c r="AE94" i="25"/>
  <c r="AD21" i="24"/>
  <c r="AD22" i="24"/>
  <c r="AE22" i="24" s="1"/>
  <c r="E18" i="32"/>
  <c r="M69" i="14"/>
  <c r="D18" i="32"/>
  <c r="L69" i="14"/>
  <c r="E17" i="32"/>
  <c r="M69" i="13"/>
  <c r="D17" i="32"/>
  <c r="L69" i="13"/>
  <c r="D16" i="32"/>
  <c r="L69" i="12"/>
  <c r="D18" i="28"/>
  <c r="L39" i="15"/>
  <c r="E17" i="28"/>
  <c r="D17" i="28"/>
  <c r="L39" i="14"/>
  <c r="E16" i="28"/>
  <c r="M39" i="13"/>
  <c r="D16" i="28"/>
  <c r="L39" i="13"/>
  <c r="E15" i="28"/>
  <c r="M39" i="12"/>
  <c r="F18" i="27"/>
  <c r="M56" i="14"/>
  <c r="E18" i="27"/>
  <c r="L56" i="14"/>
  <c r="F17" i="27"/>
  <c r="M56" i="13"/>
  <c r="F16" i="27"/>
  <c r="M56" i="12"/>
  <c r="E20" i="27"/>
  <c r="L56" i="16"/>
  <c r="F19" i="27"/>
  <c r="M56" i="15"/>
  <c r="E19" i="27"/>
  <c r="L56" i="15"/>
  <c r="M159" i="15"/>
  <c r="M159" i="14"/>
  <c r="M159" i="13"/>
  <c r="F177" i="11"/>
  <c r="F178" i="11" s="1"/>
  <c r="F176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L158" i="11" s="1"/>
  <c r="L159" i="11" s="1"/>
  <c r="I150" i="11"/>
  <c r="H150" i="11"/>
  <c r="I149" i="11"/>
  <c r="H149" i="11"/>
  <c r="I148" i="11"/>
  <c r="H148" i="11"/>
  <c r="I147" i="11"/>
  <c r="H147" i="11"/>
  <c r="I146" i="11"/>
  <c r="M145" i="11" s="1"/>
  <c r="M146" i="11" s="1"/>
  <c r="H146" i="11"/>
  <c r="I145" i="11"/>
  <c r="H145" i="11"/>
  <c r="L145" i="11" s="1"/>
  <c r="L146" i="11" s="1"/>
  <c r="L138" i="11"/>
  <c r="L137" i="11"/>
  <c r="I137" i="11"/>
  <c r="H137" i="11"/>
  <c r="L136" i="11"/>
  <c r="I136" i="11"/>
  <c r="M136" i="11" s="1"/>
  <c r="M137" i="11" s="1"/>
  <c r="H136" i="11"/>
  <c r="L128" i="11"/>
  <c r="I128" i="11"/>
  <c r="H128" i="11"/>
  <c r="I127" i="11"/>
  <c r="H127" i="11"/>
  <c r="L126" i="11"/>
  <c r="L127" i="11" s="1"/>
  <c r="I126" i="11"/>
  <c r="M128" i="11" s="1"/>
  <c r="H126" i="11"/>
  <c r="I118" i="11"/>
  <c r="H118" i="11"/>
  <c r="M117" i="11"/>
  <c r="I117" i="11"/>
  <c r="H117" i="11"/>
  <c r="I116" i="11"/>
  <c r="H116" i="11"/>
  <c r="M115" i="11"/>
  <c r="M116" i="11" s="1"/>
  <c r="I115" i="11"/>
  <c r="H115" i="11"/>
  <c r="L117" i="11" s="1"/>
  <c r="I107" i="11"/>
  <c r="M105" i="11" s="1"/>
  <c r="H107" i="11"/>
  <c r="I106" i="11"/>
  <c r="H106" i="11"/>
  <c r="I105" i="11"/>
  <c r="H105" i="11"/>
  <c r="I104" i="11"/>
  <c r="H104" i="11"/>
  <c r="I103" i="11"/>
  <c r="H103" i="11"/>
  <c r="L105" i="11" s="1"/>
  <c r="I95" i="11"/>
  <c r="M93" i="11" s="1"/>
  <c r="H95" i="11"/>
  <c r="I94" i="11"/>
  <c r="H94" i="11"/>
  <c r="I93" i="11"/>
  <c r="H93" i="11"/>
  <c r="I92" i="11"/>
  <c r="H92" i="11"/>
  <c r="I91" i="11"/>
  <c r="H91" i="11"/>
  <c r="L93" i="11" s="1"/>
  <c r="I83" i="11"/>
  <c r="H83" i="11"/>
  <c r="I82" i="11"/>
  <c r="H82" i="11"/>
  <c r="I81" i="11"/>
  <c r="H81" i="11"/>
  <c r="I80" i="11"/>
  <c r="H80" i="11"/>
  <c r="I79" i="11"/>
  <c r="H79" i="11"/>
  <c r="L80" i="11" s="1"/>
  <c r="L78" i="11"/>
  <c r="L79" i="11" s="1"/>
  <c r="I78" i="11"/>
  <c r="M80" i="11" s="1"/>
  <c r="H78" i="11"/>
  <c r="I70" i="11"/>
  <c r="H70" i="11"/>
  <c r="I69" i="11"/>
  <c r="H69" i="11"/>
  <c r="I68" i="11"/>
  <c r="M70" i="11" s="1"/>
  <c r="H68" i="11"/>
  <c r="L70" i="11" s="1"/>
  <c r="I60" i="11"/>
  <c r="H60" i="11"/>
  <c r="I59" i="11"/>
  <c r="M57" i="11" s="1"/>
  <c r="H59" i="11"/>
  <c r="I58" i="11"/>
  <c r="H58" i="11"/>
  <c r="I57" i="11"/>
  <c r="H57" i="11"/>
  <c r="I56" i="11"/>
  <c r="H56" i="11"/>
  <c r="I55" i="11"/>
  <c r="H55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L40" i="11" s="1"/>
  <c r="I39" i="11"/>
  <c r="M38" i="11" s="1"/>
  <c r="H39" i="11"/>
  <c r="I38" i="11"/>
  <c r="H38" i="11"/>
  <c r="F29" i="11"/>
  <c r="F28" i="11"/>
  <c r="F27" i="11"/>
  <c r="F26" i="11"/>
  <c r="F25" i="11"/>
  <c r="F24" i="11"/>
  <c r="F23" i="11"/>
  <c r="F22" i="11"/>
  <c r="F21" i="11"/>
  <c r="J21" i="11" s="1"/>
  <c r="F20" i="11"/>
  <c r="F177" i="10"/>
  <c r="F178" i="10" s="1"/>
  <c r="F176" i="10"/>
  <c r="I167" i="10"/>
  <c r="H167" i="10"/>
  <c r="I166" i="10"/>
  <c r="H166" i="10"/>
  <c r="I165" i="10"/>
  <c r="H165" i="10"/>
  <c r="I164" i="10"/>
  <c r="H164" i="10"/>
  <c r="I163" i="10"/>
  <c r="H163" i="10"/>
  <c r="I162" i="10"/>
  <c r="H162" i="10"/>
  <c r="I161" i="10"/>
  <c r="H161" i="10"/>
  <c r="I160" i="10"/>
  <c r="H160" i="10"/>
  <c r="I159" i="10"/>
  <c r="H159" i="10"/>
  <c r="I158" i="10"/>
  <c r="H158" i="10"/>
  <c r="I150" i="10"/>
  <c r="H150" i="10"/>
  <c r="I149" i="10"/>
  <c r="H149" i="10"/>
  <c r="I148" i="10"/>
  <c r="M145" i="10" s="1"/>
  <c r="M146" i="10" s="1"/>
  <c r="H148" i="10"/>
  <c r="I147" i="10"/>
  <c r="H147" i="10"/>
  <c r="I146" i="10"/>
  <c r="H146" i="10"/>
  <c r="I145" i="10"/>
  <c r="H145" i="10"/>
  <c r="L145" i="10" s="1"/>
  <c r="L146" i="10" s="1"/>
  <c r="L138" i="10"/>
  <c r="L137" i="10"/>
  <c r="I137" i="10"/>
  <c r="M136" i="10" s="1"/>
  <c r="M137" i="10" s="1"/>
  <c r="H137" i="10"/>
  <c r="L136" i="10"/>
  <c r="I136" i="10"/>
  <c r="H136" i="10"/>
  <c r="I128" i="10"/>
  <c r="H128" i="10"/>
  <c r="I127" i="10"/>
  <c r="H127" i="10"/>
  <c r="L126" i="10" s="1"/>
  <c r="L127" i="10" s="1"/>
  <c r="I126" i="10"/>
  <c r="M128" i="10" s="1"/>
  <c r="H126" i="10"/>
  <c r="L128" i="10" s="1"/>
  <c r="I118" i="10"/>
  <c r="H118" i="10"/>
  <c r="I117" i="10"/>
  <c r="H117" i="10"/>
  <c r="I116" i="10"/>
  <c r="H116" i="10"/>
  <c r="I115" i="10"/>
  <c r="M117" i="10" s="1"/>
  <c r="H115" i="10"/>
  <c r="L117" i="10" s="1"/>
  <c r="I107" i="10"/>
  <c r="H107" i="10"/>
  <c r="I106" i="10"/>
  <c r="H106" i="10"/>
  <c r="I105" i="10"/>
  <c r="H105" i="10"/>
  <c r="I104" i="10"/>
  <c r="H104" i="10"/>
  <c r="I103" i="10"/>
  <c r="M105" i="10" s="1"/>
  <c r="H103" i="10"/>
  <c r="L105" i="10" s="1"/>
  <c r="I95" i="10"/>
  <c r="H95" i="10"/>
  <c r="I94" i="10"/>
  <c r="H94" i="10"/>
  <c r="I93" i="10"/>
  <c r="H93" i="10"/>
  <c r="I92" i="10"/>
  <c r="H92" i="10"/>
  <c r="I91" i="10"/>
  <c r="M93" i="10" s="1"/>
  <c r="H91" i="10"/>
  <c r="L91" i="10" s="1"/>
  <c r="L92" i="10" s="1"/>
  <c r="I83" i="10"/>
  <c r="H83" i="10"/>
  <c r="I82" i="10"/>
  <c r="H82" i="10"/>
  <c r="I81" i="10"/>
  <c r="H81" i="10"/>
  <c r="I80" i="10"/>
  <c r="H80" i="10"/>
  <c r="I79" i="10"/>
  <c r="H79" i="10"/>
  <c r="L78" i="10"/>
  <c r="I78" i="10"/>
  <c r="M80" i="10" s="1"/>
  <c r="H78" i="10"/>
  <c r="L80" i="10" s="1"/>
  <c r="I70" i="10"/>
  <c r="H70" i="10"/>
  <c r="I69" i="10"/>
  <c r="H69" i="10"/>
  <c r="I68" i="10"/>
  <c r="M70" i="10" s="1"/>
  <c r="H68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41" i="10"/>
  <c r="H41" i="10"/>
  <c r="I40" i="10"/>
  <c r="H40" i="10"/>
  <c r="I39" i="10"/>
  <c r="H39" i="10"/>
  <c r="M40" i="10" s="1"/>
  <c r="I38" i="10"/>
  <c r="M38" i="10" s="1"/>
  <c r="H38" i="10"/>
  <c r="L38" i="10" s="1"/>
  <c r="F29" i="10"/>
  <c r="F28" i="10"/>
  <c r="F27" i="10"/>
  <c r="F26" i="10"/>
  <c r="F25" i="10"/>
  <c r="F24" i="10"/>
  <c r="F23" i="10"/>
  <c r="J21" i="10" s="1"/>
  <c r="F22" i="10"/>
  <c r="F21" i="10"/>
  <c r="J19" i="10" s="1"/>
  <c r="J20" i="10" s="1"/>
  <c r="F20" i="10"/>
  <c r="F177" i="9"/>
  <c r="F178" i="9" s="1"/>
  <c r="F176" i="9"/>
  <c r="I167" i="9"/>
  <c r="H167" i="9"/>
  <c r="I166" i="9"/>
  <c r="H166" i="9"/>
  <c r="I165" i="9"/>
  <c r="H165" i="9"/>
  <c r="I164" i="9"/>
  <c r="H164" i="9"/>
  <c r="I163" i="9"/>
  <c r="H163" i="9"/>
  <c r="I162" i="9"/>
  <c r="H162" i="9"/>
  <c r="I161" i="9"/>
  <c r="H161" i="9"/>
  <c r="I160" i="9"/>
  <c r="H160" i="9"/>
  <c r="I159" i="9"/>
  <c r="H159" i="9"/>
  <c r="I158" i="9"/>
  <c r="H158" i="9"/>
  <c r="L158" i="9" s="1"/>
  <c r="L159" i="9" s="1"/>
  <c r="I150" i="9"/>
  <c r="H150" i="9"/>
  <c r="I149" i="9"/>
  <c r="H149" i="9"/>
  <c r="I148" i="9"/>
  <c r="H148" i="9"/>
  <c r="I147" i="9"/>
  <c r="H147" i="9"/>
  <c r="I146" i="9"/>
  <c r="H146" i="9"/>
  <c r="I145" i="9"/>
  <c r="M145" i="9" s="1"/>
  <c r="M146" i="9" s="1"/>
  <c r="H145" i="9"/>
  <c r="L145" i="9" s="1"/>
  <c r="L146" i="9" s="1"/>
  <c r="L138" i="9"/>
  <c r="L137" i="9"/>
  <c r="I137" i="9"/>
  <c r="M136" i="9" s="1"/>
  <c r="M137" i="9" s="1"/>
  <c r="H137" i="9"/>
  <c r="L136" i="9"/>
  <c r="I136" i="9"/>
  <c r="H136" i="9"/>
  <c r="I128" i="9"/>
  <c r="H128" i="9"/>
  <c r="I127" i="9"/>
  <c r="H127" i="9"/>
  <c r="L128" i="9" s="1"/>
  <c r="L126" i="9"/>
  <c r="L127" i="9" s="1"/>
  <c r="I126" i="9"/>
  <c r="M128" i="9" s="1"/>
  <c r="H126" i="9"/>
  <c r="I118" i="9"/>
  <c r="H118" i="9"/>
  <c r="I117" i="9"/>
  <c r="H117" i="9"/>
  <c r="I116" i="9"/>
  <c r="H116" i="9"/>
  <c r="I115" i="9"/>
  <c r="M117" i="9" s="1"/>
  <c r="H115" i="9"/>
  <c r="L115" i="9" s="1"/>
  <c r="L116" i="9" s="1"/>
  <c r="I107" i="9"/>
  <c r="H107" i="9"/>
  <c r="I106" i="9"/>
  <c r="H106" i="9"/>
  <c r="I105" i="9"/>
  <c r="H105" i="9"/>
  <c r="I104" i="9"/>
  <c r="H104" i="9"/>
  <c r="I103" i="9"/>
  <c r="M105" i="9" s="1"/>
  <c r="H103" i="9"/>
  <c r="L105" i="9" s="1"/>
  <c r="I95" i="9"/>
  <c r="H95" i="9"/>
  <c r="I94" i="9"/>
  <c r="H94" i="9"/>
  <c r="I93" i="9"/>
  <c r="H93" i="9"/>
  <c r="I92" i="9"/>
  <c r="H92" i="9"/>
  <c r="I91" i="9"/>
  <c r="M91" i="9" s="1"/>
  <c r="M92" i="9" s="1"/>
  <c r="H91" i="9"/>
  <c r="L93" i="9" s="1"/>
  <c r="I83" i="9"/>
  <c r="H83" i="9"/>
  <c r="I82" i="9"/>
  <c r="H82" i="9"/>
  <c r="I81" i="9"/>
  <c r="H81" i="9"/>
  <c r="I80" i="9"/>
  <c r="H80" i="9"/>
  <c r="I79" i="9"/>
  <c r="H79" i="9"/>
  <c r="L80" i="9" s="1"/>
  <c r="L78" i="9"/>
  <c r="L79" i="9" s="1"/>
  <c r="I78" i="9"/>
  <c r="M78" i="9" s="1"/>
  <c r="M79" i="9" s="1"/>
  <c r="H78" i="9"/>
  <c r="I70" i="9"/>
  <c r="H70" i="9"/>
  <c r="I69" i="9"/>
  <c r="H69" i="9"/>
  <c r="I68" i="9"/>
  <c r="M70" i="9" s="1"/>
  <c r="H68" i="9"/>
  <c r="L70" i="9" s="1"/>
  <c r="I60" i="9"/>
  <c r="H60" i="9"/>
  <c r="I59" i="9"/>
  <c r="H59" i="9"/>
  <c r="I58" i="9"/>
  <c r="H58" i="9"/>
  <c r="I57" i="9"/>
  <c r="H57" i="9"/>
  <c r="I56" i="9"/>
  <c r="H56" i="9"/>
  <c r="I55" i="9"/>
  <c r="M57" i="9" s="1"/>
  <c r="H55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L38" i="9" s="1"/>
  <c r="L39" i="9" s="1"/>
  <c r="M40" i="9"/>
  <c r="L40" i="9"/>
  <c r="I40" i="9"/>
  <c r="M38" i="9" s="1"/>
  <c r="M39" i="9" s="1"/>
  <c r="H40" i="9"/>
  <c r="I39" i="9"/>
  <c r="H39" i="9"/>
  <c r="I38" i="9"/>
  <c r="H38" i="9"/>
  <c r="F29" i="9"/>
  <c r="F28" i="9"/>
  <c r="F27" i="9"/>
  <c r="F26" i="9"/>
  <c r="F25" i="9"/>
  <c r="F24" i="9"/>
  <c r="F23" i="9"/>
  <c r="J21" i="9" s="1"/>
  <c r="F22" i="9"/>
  <c r="F21" i="9"/>
  <c r="F20" i="9"/>
  <c r="F177" i="8"/>
  <c r="F178" i="8" s="1"/>
  <c r="F176" i="8"/>
  <c r="I167" i="8"/>
  <c r="H167" i="8"/>
  <c r="I166" i="8"/>
  <c r="H166" i="8"/>
  <c r="I165" i="8"/>
  <c r="H165" i="8"/>
  <c r="I164" i="8"/>
  <c r="H164" i="8"/>
  <c r="I163" i="8"/>
  <c r="H163" i="8"/>
  <c r="I162" i="8"/>
  <c r="H162" i="8"/>
  <c r="I161" i="8"/>
  <c r="H161" i="8"/>
  <c r="I160" i="8"/>
  <c r="H160" i="8"/>
  <c r="I159" i="8"/>
  <c r="H159" i="8"/>
  <c r="I158" i="8"/>
  <c r="H158" i="8"/>
  <c r="I150" i="8"/>
  <c r="H150" i="8"/>
  <c r="I149" i="8"/>
  <c r="H149" i="8"/>
  <c r="I148" i="8"/>
  <c r="M145" i="8" s="1"/>
  <c r="M146" i="8" s="1"/>
  <c r="H148" i="8"/>
  <c r="I147" i="8"/>
  <c r="H147" i="8"/>
  <c r="I146" i="8"/>
  <c r="H146" i="8"/>
  <c r="I145" i="8"/>
  <c r="H145" i="8"/>
  <c r="I137" i="8"/>
  <c r="H137" i="8"/>
  <c r="I136" i="8"/>
  <c r="H136" i="8"/>
  <c r="L138" i="8" s="1"/>
  <c r="I128" i="8"/>
  <c r="H128" i="8"/>
  <c r="I127" i="8"/>
  <c r="H127" i="8"/>
  <c r="I126" i="8"/>
  <c r="H126" i="8"/>
  <c r="L126" i="8" s="1"/>
  <c r="I118" i="8"/>
  <c r="H118" i="8"/>
  <c r="I117" i="8"/>
  <c r="H117" i="8"/>
  <c r="I116" i="8"/>
  <c r="H116" i="8"/>
  <c r="I115" i="8"/>
  <c r="M117" i="8" s="1"/>
  <c r="H115" i="8"/>
  <c r="L115" i="8" s="1"/>
  <c r="I107" i="8"/>
  <c r="H107" i="8"/>
  <c r="I106" i="8"/>
  <c r="H106" i="8"/>
  <c r="I105" i="8"/>
  <c r="H105" i="8"/>
  <c r="I104" i="8"/>
  <c r="H104" i="8"/>
  <c r="I103" i="8"/>
  <c r="H103" i="8"/>
  <c r="I95" i="8"/>
  <c r="H95" i="8"/>
  <c r="I94" i="8"/>
  <c r="H94" i="8"/>
  <c r="I93" i="8"/>
  <c r="H93" i="8"/>
  <c r="I92" i="8"/>
  <c r="H92" i="8"/>
  <c r="I91" i="8"/>
  <c r="H91" i="8"/>
  <c r="I83" i="8"/>
  <c r="H83" i="8"/>
  <c r="I82" i="8"/>
  <c r="H82" i="8"/>
  <c r="I81" i="8"/>
  <c r="H81" i="8"/>
  <c r="I80" i="8"/>
  <c r="H80" i="8"/>
  <c r="I79" i="8"/>
  <c r="H79" i="8"/>
  <c r="I78" i="8"/>
  <c r="M78" i="8" s="1"/>
  <c r="M79" i="8" s="1"/>
  <c r="H78" i="8"/>
  <c r="L78" i="8" s="1"/>
  <c r="L79" i="8" s="1"/>
  <c r="I70" i="8"/>
  <c r="H70" i="8"/>
  <c r="I69" i="8"/>
  <c r="H69" i="8"/>
  <c r="I68" i="8"/>
  <c r="H68" i="8"/>
  <c r="I60" i="8"/>
  <c r="H60" i="8"/>
  <c r="I59" i="8"/>
  <c r="H59" i="8"/>
  <c r="I58" i="8"/>
  <c r="H58" i="8"/>
  <c r="I57" i="8"/>
  <c r="H57" i="8"/>
  <c r="I56" i="8"/>
  <c r="H56" i="8"/>
  <c r="I55" i="8"/>
  <c r="H55" i="8"/>
  <c r="I47" i="8"/>
  <c r="H47" i="8"/>
  <c r="I46" i="8"/>
  <c r="H46" i="8"/>
  <c r="I45" i="8"/>
  <c r="H45" i="8"/>
  <c r="I44" i="8"/>
  <c r="H44" i="8"/>
  <c r="I43" i="8"/>
  <c r="H43" i="8"/>
  <c r="I42" i="8"/>
  <c r="H42" i="8"/>
  <c r="I41" i="8"/>
  <c r="H41" i="8"/>
  <c r="M40" i="8"/>
  <c r="L40" i="8"/>
  <c r="I40" i="8"/>
  <c r="H40" i="8"/>
  <c r="I39" i="8"/>
  <c r="H39" i="8"/>
  <c r="I38" i="8"/>
  <c r="H38" i="8"/>
  <c r="F29" i="8"/>
  <c r="F28" i="8"/>
  <c r="F27" i="8"/>
  <c r="F26" i="8"/>
  <c r="F25" i="8"/>
  <c r="F24" i="8"/>
  <c r="F23" i="8"/>
  <c r="F22" i="8"/>
  <c r="F21" i="8"/>
  <c r="F20" i="8"/>
  <c r="F177" i="7"/>
  <c r="F178" i="7" s="1"/>
  <c r="F176" i="7"/>
  <c r="I167" i="7"/>
  <c r="H167" i="7"/>
  <c r="I166" i="7"/>
  <c r="H166" i="7"/>
  <c r="I165" i="7"/>
  <c r="H165" i="7"/>
  <c r="I164" i="7"/>
  <c r="H164" i="7"/>
  <c r="I163" i="7"/>
  <c r="H163" i="7"/>
  <c r="I162" i="7"/>
  <c r="H162" i="7"/>
  <c r="I161" i="7"/>
  <c r="H161" i="7"/>
  <c r="I160" i="7"/>
  <c r="H160" i="7"/>
  <c r="I159" i="7"/>
  <c r="H159" i="7"/>
  <c r="I158" i="7"/>
  <c r="H158" i="7"/>
  <c r="I150" i="7"/>
  <c r="H150" i="7"/>
  <c r="I149" i="7"/>
  <c r="H149" i="7"/>
  <c r="I148" i="7"/>
  <c r="H148" i="7"/>
  <c r="I147" i="7"/>
  <c r="H147" i="7"/>
  <c r="I146" i="7"/>
  <c r="M145" i="7" s="1"/>
  <c r="M146" i="7" s="1"/>
  <c r="H146" i="7"/>
  <c r="I145" i="7"/>
  <c r="H145" i="7"/>
  <c r="L145" i="7" s="1"/>
  <c r="L146" i="7" s="1"/>
  <c r="L138" i="7"/>
  <c r="I137" i="7"/>
  <c r="H137" i="7"/>
  <c r="I136" i="7"/>
  <c r="M136" i="7" s="1"/>
  <c r="M137" i="7" s="1"/>
  <c r="H136" i="7"/>
  <c r="L136" i="7" s="1"/>
  <c r="L137" i="7" s="1"/>
  <c r="M128" i="7"/>
  <c r="L128" i="7"/>
  <c r="I128" i="7"/>
  <c r="H128" i="7"/>
  <c r="I127" i="7"/>
  <c r="H127" i="7"/>
  <c r="L126" i="7" s="1"/>
  <c r="L127" i="7" s="1"/>
  <c r="I126" i="7"/>
  <c r="M126" i="7" s="1"/>
  <c r="M127" i="7" s="1"/>
  <c r="H126" i="7"/>
  <c r="I118" i="7"/>
  <c r="H118" i="7"/>
  <c r="I117" i="7"/>
  <c r="M117" i="7" s="1"/>
  <c r="H117" i="7"/>
  <c r="I116" i="7"/>
  <c r="H116" i="7"/>
  <c r="L117" i="7" s="1"/>
  <c r="L115" i="7"/>
  <c r="L116" i="7" s="1"/>
  <c r="I115" i="7"/>
  <c r="H115" i="7"/>
  <c r="I107" i="7"/>
  <c r="H107" i="7"/>
  <c r="I106" i="7"/>
  <c r="H106" i="7"/>
  <c r="I105" i="7"/>
  <c r="M105" i="7" s="1"/>
  <c r="H105" i="7"/>
  <c r="L105" i="7" s="1"/>
  <c r="I104" i="7"/>
  <c r="H104" i="7"/>
  <c r="L103" i="7"/>
  <c r="L104" i="7" s="1"/>
  <c r="I103" i="7"/>
  <c r="H103" i="7"/>
  <c r="I95" i="7"/>
  <c r="H95" i="7"/>
  <c r="I94" i="7"/>
  <c r="H94" i="7"/>
  <c r="I93" i="7"/>
  <c r="M93" i="7" s="1"/>
  <c r="H93" i="7"/>
  <c r="L93" i="7" s="1"/>
  <c r="I92" i="7"/>
  <c r="H92" i="7"/>
  <c r="L91" i="7"/>
  <c r="L92" i="7" s="1"/>
  <c r="I91" i="7"/>
  <c r="H91" i="7"/>
  <c r="I83" i="7"/>
  <c r="H83" i="7"/>
  <c r="I82" i="7"/>
  <c r="H82" i="7"/>
  <c r="I81" i="7"/>
  <c r="H81" i="7"/>
  <c r="M80" i="7"/>
  <c r="L80" i="7"/>
  <c r="I80" i="7"/>
  <c r="H80" i="7"/>
  <c r="I79" i="7"/>
  <c r="H79" i="7"/>
  <c r="L78" i="7" s="1"/>
  <c r="L79" i="7" s="1"/>
  <c r="I78" i="7"/>
  <c r="M78" i="7" s="1"/>
  <c r="M79" i="7" s="1"/>
  <c r="H78" i="7"/>
  <c r="I70" i="7"/>
  <c r="H70" i="7"/>
  <c r="I69" i="7"/>
  <c r="H69" i="7"/>
  <c r="I68" i="7"/>
  <c r="M70" i="7" s="1"/>
  <c r="H68" i="7"/>
  <c r="L70" i="7" s="1"/>
  <c r="I60" i="7"/>
  <c r="H60" i="7"/>
  <c r="I59" i="7"/>
  <c r="H59" i="7"/>
  <c r="I58" i="7"/>
  <c r="H58" i="7"/>
  <c r="I57" i="7"/>
  <c r="H57" i="7"/>
  <c r="I56" i="7"/>
  <c r="H56" i="7"/>
  <c r="I55" i="7"/>
  <c r="H55" i="7"/>
  <c r="I47" i="7"/>
  <c r="H47" i="7"/>
  <c r="I46" i="7"/>
  <c r="H46" i="7"/>
  <c r="I45" i="7"/>
  <c r="H45" i="7"/>
  <c r="L38" i="7" s="1"/>
  <c r="I44" i="7"/>
  <c r="H44" i="7"/>
  <c r="I43" i="7"/>
  <c r="H43" i="7"/>
  <c r="I42" i="7"/>
  <c r="H42" i="7"/>
  <c r="I41" i="7"/>
  <c r="H41" i="7"/>
  <c r="I40" i="7"/>
  <c r="H40" i="7"/>
  <c r="I39" i="7"/>
  <c r="H39" i="7"/>
  <c r="M38" i="7"/>
  <c r="I38" i="7"/>
  <c r="H38" i="7"/>
  <c r="F29" i="7"/>
  <c r="F28" i="7"/>
  <c r="F27" i="7"/>
  <c r="F26" i="7"/>
  <c r="J19" i="7" s="1"/>
  <c r="J20" i="7" s="1"/>
  <c r="F25" i="7"/>
  <c r="F24" i="7"/>
  <c r="F23" i="7"/>
  <c r="F22" i="7"/>
  <c r="F21" i="7"/>
  <c r="F20" i="7"/>
  <c r="J21" i="7" s="1"/>
  <c r="H79" i="35"/>
  <c r="K62" i="35"/>
  <c r="K63" i="35"/>
  <c r="K61" i="24"/>
  <c r="H78" i="24"/>
  <c r="K62" i="24"/>
  <c r="K42" i="28"/>
  <c r="H50" i="28"/>
  <c r="K41" i="28"/>
  <c r="L167" i="27"/>
  <c r="I184" i="27"/>
  <c r="L168" i="27"/>
  <c r="N188" i="24"/>
  <c r="Q171" i="24"/>
  <c r="Q172" i="24"/>
  <c r="Q195" i="24"/>
  <c r="N212" i="24"/>
  <c r="Q196" i="24"/>
  <c r="AD147" i="33"/>
  <c r="Q148" i="33"/>
  <c r="Q149" i="33"/>
  <c r="N157" i="33"/>
  <c r="K171" i="24"/>
  <c r="H188" i="24"/>
  <c r="K172" i="24"/>
  <c r="Q148" i="35"/>
  <c r="AD147" i="35"/>
  <c r="Q149" i="35"/>
  <c r="N157" i="35"/>
  <c r="H129" i="28"/>
  <c r="K112" i="28"/>
  <c r="K113" i="28"/>
  <c r="K216" i="28"/>
  <c r="K217" i="28"/>
  <c r="H233" i="28"/>
  <c r="H104" i="35"/>
  <c r="K96" i="35"/>
  <c r="K95" i="35"/>
  <c r="N131" i="33"/>
  <c r="Q122" i="33"/>
  <c r="AD121" i="33"/>
  <c r="Q123" i="33"/>
  <c r="K164" i="28"/>
  <c r="H181" i="28"/>
  <c r="K165" i="28"/>
  <c r="Q43" i="32"/>
  <c r="AD42" i="32"/>
  <c r="N52" i="32"/>
  <c r="Q44" i="32"/>
  <c r="Q62" i="33"/>
  <c r="Q63" i="33"/>
  <c r="N79" i="33"/>
  <c r="L64" i="27"/>
  <c r="I80" i="27"/>
  <c r="L63" i="27"/>
  <c r="N53" i="32"/>
  <c r="Q36" i="32"/>
  <c r="Q37" i="32"/>
  <c r="N105" i="32"/>
  <c r="AD95" i="32"/>
  <c r="Q97" i="32"/>
  <c r="Q96" i="32"/>
  <c r="K71" i="32"/>
  <c r="K70" i="32"/>
  <c r="H79" i="32"/>
  <c r="N104" i="36"/>
  <c r="Q96" i="36"/>
  <c r="AD94" i="36"/>
  <c r="Q95" i="36"/>
  <c r="D49" i="41"/>
  <c r="AD74" i="25"/>
  <c r="Q76" i="25"/>
  <c r="Q75" i="25"/>
  <c r="N84" i="25"/>
  <c r="H298" i="24"/>
  <c r="K282" i="24"/>
  <c r="K281" i="24"/>
  <c r="AD144" i="28"/>
  <c r="N154" i="28"/>
  <c r="Q146" i="28"/>
  <c r="Q145" i="28"/>
  <c r="Q35" i="28"/>
  <c r="N51" i="28"/>
  <c r="Q34" i="28"/>
  <c r="Q60" i="28"/>
  <c r="N77" i="28"/>
  <c r="Q61" i="28"/>
  <c r="N77" i="24"/>
  <c r="Q68" i="24"/>
  <c r="Q69" i="24"/>
  <c r="AD67" i="24"/>
  <c r="H128" i="28"/>
  <c r="K119" i="28"/>
  <c r="K120" i="28"/>
  <c r="AD101" i="25"/>
  <c r="Q102" i="25"/>
  <c r="Q103" i="25"/>
  <c r="N111" i="25"/>
  <c r="Q94" i="28"/>
  <c r="Q93" i="28"/>
  <c r="N102" i="28"/>
  <c r="AD92" i="28"/>
  <c r="H157" i="33"/>
  <c r="K148" i="33"/>
  <c r="K149" i="33"/>
  <c r="K196" i="24"/>
  <c r="K195" i="24"/>
  <c r="H212" i="24"/>
  <c r="N187" i="24"/>
  <c r="Q178" i="24"/>
  <c r="Q179" i="24"/>
  <c r="AD177" i="24"/>
  <c r="K144" i="24"/>
  <c r="K145" i="24"/>
  <c r="H161" i="24"/>
  <c r="N233" i="28"/>
  <c r="Q217" i="28"/>
  <c r="Q216" i="28"/>
  <c r="Q281" i="24"/>
  <c r="Q282" i="24"/>
  <c r="N298" i="24"/>
  <c r="K122" i="25"/>
  <c r="H139" i="25"/>
  <c r="K123" i="25"/>
  <c r="N78" i="33"/>
  <c r="Q70" i="33"/>
  <c r="Q69" i="33"/>
  <c r="AD68" i="33"/>
  <c r="H52" i="33"/>
  <c r="K35" i="33"/>
  <c r="K36" i="33"/>
  <c r="K141" i="33"/>
  <c r="K142" i="33"/>
  <c r="H158" i="33"/>
  <c r="R89" i="27"/>
  <c r="O106" i="27"/>
  <c r="R90" i="27"/>
  <c r="O132" i="27"/>
  <c r="R116" i="27"/>
  <c r="R115" i="27"/>
  <c r="R44" i="27"/>
  <c r="R43" i="27"/>
  <c r="AE42" i="27"/>
  <c r="O52" i="27"/>
  <c r="Q113" i="28"/>
  <c r="N129" i="28"/>
  <c r="Q112" i="28"/>
  <c r="Q16" i="37"/>
  <c r="AD15" i="37"/>
  <c r="Q17" i="37"/>
  <c r="N25" i="37"/>
  <c r="AD156" i="25"/>
  <c r="Q158" i="25"/>
  <c r="N166" i="25"/>
  <c r="Q157" i="25"/>
  <c r="H105" i="24"/>
  <c r="K88" i="24"/>
  <c r="K89" i="24"/>
  <c r="N285" i="28"/>
  <c r="Q269" i="28"/>
  <c r="Q268" i="28"/>
  <c r="Q88" i="24"/>
  <c r="Q89" i="24"/>
  <c r="N105" i="24"/>
  <c r="K103" i="25"/>
  <c r="K102" i="25"/>
  <c r="H111" i="25"/>
  <c r="K177" i="25"/>
  <c r="H194" i="25"/>
  <c r="K178" i="25"/>
  <c r="K34" i="28"/>
  <c r="K35" i="28"/>
  <c r="H51" i="28"/>
  <c r="Q36" i="24"/>
  <c r="Q35" i="24"/>
  <c r="N52" i="24"/>
  <c r="H284" i="28"/>
  <c r="K276" i="28"/>
  <c r="K275" i="28"/>
  <c r="AD15" i="39"/>
  <c r="Q16" i="39"/>
  <c r="Q17" i="39"/>
  <c r="Q63" i="37"/>
  <c r="Q62" i="37"/>
  <c r="N79" i="37"/>
  <c r="G50" i="41"/>
  <c r="H52" i="36"/>
  <c r="K35" i="36"/>
  <c r="K36" i="36"/>
  <c r="K123" i="33"/>
  <c r="H131" i="33"/>
  <c r="K122" i="33"/>
  <c r="Q177" i="25"/>
  <c r="N194" i="25"/>
  <c r="Q178" i="25"/>
  <c r="Q129" i="25"/>
  <c r="Q130" i="25"/>
  <c r="N138" i="25"/>
  <c r="AD128" i="25"/>
  <c r="AE69" i="27"/>
  <c r="R70" i="27"/>
  <c r="O79" i="27"/>
  <c r="R71" i="27"/>
  <c r="K289" i="24"/>
  <c r="H297" i="24"/>
  <c r="K288" i="24"/>
  <c r="Q63" i="32"/>
  <c r="Q64" i="32"/>
  <c r="N80" i="32"/>
  <c r="K42" i="37"/>
  <c r="H51" i="37"/>
  <c r="K43" i="37"/>
  <c r="K76" i="25"/>
  <c r="H84" i="25"/>
  <c r="K75" i="25"/>
  <c r="K115" i="35"/>
  <c r="K116" i="35"/>
  <c r="H132" i="35"/>
  <c r="Q87" i="28"/>
  <c r="Q86" i="28"/>
  <c r="N103" i="28"/>
  <c r="Q43" i="24"/>
  <c r="Q42" i="24"/>
  <c r="N51" i="24"/>
  <c r="AD41" i="24"/>
  <c r="Q96" i="24"/>
  <c r="Q95" i="24"/>
  <c r="N104" i="24"/>
  <c r="AD92" i="24"/>
  <c r="K224" i="28"/>
  <c r="K223" i="28"/>
  <c r="H232" i="28"/>
  <c r="N180" i="28"/>
  <c r="Q172" i="28"/>
  <c r="AD170" i="28"/>
  <c r="Q171" i="28"/>
  <c r="K9" i="37"/>
  <c r="K10" i="37"/>
  <c r="H26" i="37"/>
  <c r="O80" i="27"/>
  <c r="R63" i="27"/>
  <c r="R64" i="27"/>
  <c r="Q40" i="25"/>
  <c r="Q41" i="25"/>
  <c r="N57" i="25"/>
  <c r="K88" i="33"/>
  <c r="K89" i="33"/>
  <c r="H105" i="33"/>
  <c r="H155" i="28"/>
  <c r="K139" i="28"/>
  <c r="K138" i="28"/>
  <c r="N79" i="32"/>
  <c r="Q70" i="32"/>
  <c r="AD69" i="32"/>
  <c r="Q71" i="32"/>
  <c r="N85" i="25"/>
  <c r="Q69" i="25"/>
  <c r="Q68" i="25"/>
  <c r="D50" i="41"/>
  <c r="Q61" i="24"/>
  <c r="N78" i="24"/>
  <c r="Q62" i="24"/>
  <c r="Q224" i="28"/>
  <c r="AD222" i="28"/>
  <c r="Q223" i="28"/>
  <c r="N232" i="28"/>
  <c r="Q123" i="36"/>
  <c r="Q122" i="36"/>
  <c r="N131" i="36"/>
  <c r="AD121" i="36"/>
  <c r="R37" i="27"/>
  <c r="R36" i="27"/>
  <c r="O53" i="27"/>
  <c r="H132" i="33"/>
  <c r="K115" i="33"/>
  <c r="K116" i="33"/>
  <c r="H131" i="36"/>
  <c r="K123" i="36"/>
  <c r="K122" i="36"/>
  <c r="N78" i="36"/>
  <c r="AD68" i="36"/>
  <c r="Q70" i="36"/>
  <c r="Q69" i="36"/>
  <c r="H269" i="24"/>
  <c r="K253" i="24"/>
  <c r="K252" i="24"/>
  <c r="Q47" i="25"/>
  <c r="N56" i="25"/>
  <c r="AD46" i="25"/>
  <c r="Q48" i="25"/>
  <c r="Q9" i="39"/>
  <c r="Q10" i="39"/>
  <c r="H53" i="32"/>
  <c r="K36" i="32"/>
  <c r="K37" i="32"/>
  <c r="K171" i="28"/>
  <c r="K172" i="28"/>
  <c r="H180" i="28"/>
  <c r="Q253" i="24"/>
  <c r="N269" i="24"/>
  <c r="Q252" i="24"/>
  <c r="K62" i="36"/>
  <c r="K63" i="36"/>
  <c r="H79" i="36"/>
  <c r="H52" i="24"/>
  <c r="K35" i="24"/>
  <c r="K36" i="24"/>
  <c r="K226" i="24"/>
  <c r="K225" i="24"/>
  <c r="H242" i="24"/>
  <c r="K88" i="36"/>
  <c r="K89" i="36"/>
  <c r="H105" i="36"/>
  <c r="AE121" i="27"/>
  <c r="R123" i="27"/>
  <c r="O131" i="27"/>
  <c r="R122" i="27"/>
  <c r="Q116" i="24"/>
  <c r="N132" i="24"/>
  <c r="Q115" i="24"/>
  <c r="K47" i="25"/>
  <c r="H56" i="25"/>
  <c r="K48" i="25"/>
  <c r="Q115" i="36"/>
  <c r="Q116" i="36"/>
  <c r="N132" i="36"/>
  <c r="K90" i="32"/>
  <c r="K89" i="32"/>
  <c r="H106" i="32"/>
  <c r="R149" i="27"/>
  <c r="O157" i="27"/>
  <c r="R148" i="27"/>
  <c r="AE147" i="27"/>
  <c r="H158" i="35"/>
  <c r="K142" i="35"/>
  <c r="K141" i="35"/>
  <c r="K129" i="25"/>
  <c r="K130" i="25"/>
  <c r="H138" i="25"/>
  <c r="L142" i="27"/>
  <c r="L141" i="27"/>
  <c r="I158" i="27"/>
  <c r="AD41" i="36"/>
  <c r="Q43" i="36"/>
  <c r="Q42" i="36"/>
  <c r="N51" i="36"/>
  <c r="N51" i="33"/>
  <c r="AD41" i="33"/>
  <c r="Q42" i="33"/>
  <c r="Q43" i="33"/>
  <c r="K198" i="28"/>
  <c r="H206" i="28"/>
  <c r="K197" i="28"/>
  <c r="Q35" i="33"/>
  <c r="Q36" i="33"/>
  <c r="N52" i="33"/>
  <c r="Q139" i="28"/>
  <c r="N155" i="28"/>
  <c r="Q138" i="28"/>
  <c r="K69" i="37"/>
  <c r="H78" i="37"/>
  <c r="K70" i="37"/>
  <c r="AD183" i="25"/>
  <c r="Q184" i="25"/>
  <c r="Q185" i="25"/>
  <c r="N193" i="25"/>
  <c r="K44" i="32"/>
  <c r="H52" i="32"/>
  <c r="K43" i="32"/>
  <c r="I157" i="27"/>
  <c r="L149" i="27"/>
  <c r="L148" i="27"/>
  <c r="K178" i="24"/>
  <c r="K179" i="24"/>
  <c r="H187" i="24"/>
  <c r="Q123" i="25"/>
  <c r="N139" i="25"/>
  <c r="Q122" i="25"/>
  <c r="H211" i="24"/>
  <c r="K203" i="24"/>
  <c r="K202" i="24"/>
  <c r="Q198" i="28"/>
  <c r="N206" i="28"/>
  <c r="AD196" i="28"/>
  <c r="Q197" i="28"/>
  <c r="K95" i="33"/>
  <c r="K96" i="33"/>
  <c r="H104" i="33"/>
  <c r="Q122" i="24"/>
  <c r="Q123" i="24"/>
  <c r="N131" i="24"/>
  <c r="AD121" i="24"/>
  <c r="R141" i="27"/>
  <c r="O158" i="27"/>
  <c r="R142" i="27"/>
  <c r="H207" i="28"/>
  <c r="K191" i="28"/>
  <c r="K190" i="28"/>
  <c r="O105" i="27"/>
  <c r="R96" i="27"/>
  <c r="AE95" i="27"/>
  <c r="R97" i="27"/>
  <c r="H79" i="37"/>
  <c r="K63" i="37"/>
  <c r="K62" i="37"/>
  <c r="N112" i="25"/>
  <c r="Q96" i="25"/>
  <c r="Q95" i="25"/>
  <c r="Q151" i="24"/>
  <c r="Q152" i="24"/>
  <c r="AD150" i="24"/>
  <c r="N160" i="24"/>
  <c r="K16" i="37"/>
  <c r="H25" i="37"/>
  <c r="K17" i="37"/>
  <c r="I183" i="27"/>
  <c r="L174" i="27"/>
  <c r="L175" i="27"/>
  <c r="K185" i="25"/>
  <c r="K184" i="25"/>
  <c r="H193" i="25"/>
  <c r="L37" i="27"/>
  <c r="I53" i="27"/>
  <c r="L36" i="27"/>
  <c r="Q70" i="37"/>
  <c r="N78" i="37"/>
  <c r="AD68" i="37"/>
  <c r="Q69" i="37"/>
  <c r="G49" i="41"/>
  <c r="K61" i="28"/>
  <c r="K60" i="28"/>
  <c r="H77" i="28"/>
  <c r="AD274" i="28"/>
  <c r="N284" i="28"/>
  <c r="Q275" i="28"/>
  <c r="Q276" i="28"/>
  <c r="K149" i="35"/>
  <c r="K148" i="35"/>
  <c r="H157" i="35"/>
  <c r="H78" i="36"/>
  <c r="K70" i="36"/>
  <c r="K69" i="36"/>
  <c r="H52" i="37"/>
  <c r="K35" i="37"/>
  <c r="K36" i="37"/>
  <c r="K68" i="24"/>
  <c r="H77" i="24"/>
  <c r="K69" i="24"/>
  <c r="N52" i="37"/>
  <c r="Q36" i="37"/>
  <c r="Q35" i="37"/>
  <c r="Q288" i="24"/>
  <c r="AD287" i="24"/>
  <c r="Q289" i="24"/>
  <c r="N297" i="24"/>
  <c r="K158" i="25"/>
  <c r="H166" i="25"/>
  <c r="K157" i="25"/>
  <c r="H241" i="24"/>
  <c r="K233" i="24"/>
  <c r="K232" i="24"/>
  <c r="Q36" i="36"/>
  <c r="Q35" i="36"/>
  <c r="N52" i="36"/>
  <c r="Q191" i="28"/>
  <c r="N207" i="28"/>
  <c r="Q190" i="28"/>
  <c r="Q164" i="28"/>
  <c r="Q165" i="28"/>
  <c r="N181" i="28"/>
  <c r="N105" i="36"/>
  <c r="Q88" i="36"/>
  <c r="Q89" i="36"/>
  <c r="H154" i="28"/>
  <c r="K146" i="28"/>
  <c r="K145" i="28"/>
  <c r="K151" i="24"/>
  <c r="K152" i="24"/>
  <c r="H160" i="24"/>
  <c r="N106" i="32"/>
  <c r="Q90" i="32"/>
  <c r="Q89" i="32"/>
  <c r="L89" i="27"/>
  <c r="I106" i="27"/>
  <c r="L90" i="27"/>
  <c r="Q119" i="28"/>
  <c r="Q120" i="28"/>
  <c r="AD118" i="28"/>
  <c r="N128" i="28"/>
  <c r="H132" i="24"/>
  <c r="K116" i="24"/>
  <c r="K115" i="24"/>
  <c r="N161" i="24"/>
  <c r="Q145" i="24"/>
  <c r="Q144" i="24"/>
  <c r="Q115" i="33"/>
  <c r="Q116" i="33"/>
  <c r="N132" i="33"/>
  <c r="Q260" i="24"/>
  <c r="Q259" i="24"/>
  <c r="N268" i="24"/>
  <c r="AD258" i="24"/>
  <c r="K70" i="33"/>
  <c r="K69" i="33"/>
  <c r="H78" i="33"/>
  <c r="Q242" i="28"/>
  <c r="N259" i="28"/>
  <c r="Q243" i="28"/>
  <c r="K89" i="35"/>
  <c r="H105" i="35"/>
  <c r="K88" i="35"/>
  <c r="K249" i="28"/>
  <c r="K250" i="28"/>
  <c r="H258" i="28"/>
  <c r="Q43" i="37"/>
  <c r="Q42" i="37"/>
  <c r="AD41" i="37"/>
  <c r="N51" i="37"/>
  <c r="N26" i="37"/>
  <c r="Q10" i="37"/>
  <c r="Q9" i="37"/>
  <c r="K95" i="36"/>
  <c r="H104" i="36"/>
  <c r="K96" i="36"/>
  <c r="K242" i="28"/>
  <c r="K243" i="28"/>
  <c r="H259" i="28"/>
  <c r="K96" i="25"/>
  <c r="K95" i="25"/>
  <c r="H112" i="25"/>
  <c r="N258" i="28"/>
  <c r="AD248" i="28"/>
  <c r="Q250" i="28"/>
  <c r="Q249" i="28"/>
  <c r="K10" i="39"/>
  <c r="K9" i="39"/>
  <c r="H26" i="39"/>
  <c r="Q233" i="24"/>
  <c r="AD231" i="24"/>
  <c r="N241" i="24"/>
  <c r="Q232" i="24"/>
  <c r="K69" i="25"/>
  <c r="H85" i="25"/>
  <c r="K68" i="25"/>
  <c r="L116" i="27"/>
  <c r="L115" i="27"/>
  <c r="I132" i="27"/>
  <c r="Q142" i="35"/>
  <c r="Q141" i="35"/>
  <c r="N158" i="35"/>
  <c r="N79" i="36"/>
  <c r="Q63" i="36"/>
  <c r="Q62" i="36"/>
  <c r="H131" i="24"/>
  <c r="K122" i="24"/>
  <c r="K123" i="24"/>
  <c r="Q68" i="28"/>
  <c r="N76" i="28"/>
  <c r="Q67" i="28"/>
  <c r="AD66" i="28"/>
  <c r="L70" i="27"/>
  <c r="L71" i="27"/>
  <c r="I79" i="27"/>
  <c r="Q96" i="33"/>
  <c r="AD94" i="33"/>
  <c r="N104" i="33"/>
  <c r="Q95" i="33"/>
  <c r="I131" i="27"/>
  <c r="L123" i="27"/>
  <c r="L122" i="27"/>
  <c r="AD40" i="28"/>
  <c r="Q42" i="28"/>
  <c r="N50" i="28"/>
  <c r="Q41" i="28"/>
  <c r="H51" i="24"/>
  <c r="K43" i="24"/>
  <c r="K42" i="24"/>
  <c r="K123" i="35"/>
  <c r="H131" i="35"/>
  <c r="K122" i="35"/>
  <c r="H132" i="36"/>
  <c r="K115" i="36"/>
  <c r="K116" i="36"/>
  <c r="L43" i="27"/>
  <c r="L44" i="27"/>
  <c r="I52" i="27"/>
  <c r="K36" i="35"/>
  <c r="H52" i="35"/>
  <c r="K35" i="35"/>
  <c r="H51" i="33"/>
  <c r="K42" i="33"/>
  <c r="K43" i="33"/>
  <c r="H268" i="24"/>
  <c r="K259" i="24"/>
  <c r="K260" i="24"/>
  <c r="N167" i="25"/>
  <c r="Q151" i="25"/>
  <c r="Q150" i="25"/>
  <c r="H78" i="35"/>
  <c r="K70" i="35"/>
  <c r="K69" i="35"/>
  <c r="K86" i="28"/>
  <c r="K87" i="28"/>
  <c r="H103" i="28"/>
  <c r="H80" i="32"/>
  <c r="K63" i="32"/>
  <c r="K64" i="32"/>
  <c r="K67" i="28"/>
  <c r="H76" i="28"/>
  <c r="K68" i="28"/>
  <c r="K96" i="24"/>
  <c r="K95" i="24"/>
  <c r="H104" i="24"/>
  <c r="K150" i="25"/>
  <c r="H167" i="25"/>
  <c r="K151" i="25"/>
  <c r="N158" i="33"/>
  <c r="Q142" i="33"/>
  <c r="Q141" i="33"/>
  <c r="N242" i="24"/>
  <c r="Q226" i="24"/>
  <c r="Q225" i="24"/>
  <c r="H102" i="28"/>
  <c r="K93" i="28"/>
  <c r="K94" i="28"/>
  <c r="K62" i="33"/>
  <c r="H79" i="33"/>
  <c r="K63" i="33"/>
  <c r="H285" i="28"/>
  <c r="K269" i="28"/>
  <c r="K268" i="28"/>
  <c r="K40" i="25"/>
  <c r="K41" i="25"/>
  <c r="H57" i="25"/>
  <c r="H25" i="39"/>
  <c r="K17" i="39"/>
  <c r="K16" i="39"/>
  <c r="H51" i="35"/>
  <c r="K42" i="35"/>
  <c r="K43" i="35"/>
  <c r="Q88" i="33"/>
  <c r="N105" i="33"/>
  <c r="Q89" i="33"/>
  <c r="Q202" i="24"/>
  <c r="Q203" i="24"/>
  <c r="AD201" i="24"/>
  <c r="N211" i="24"/>
  <c r="H105" i="32"/>
  <c r="K97" i="32"/>
  <c r="K96" i="32"/>
  <c r="K43" i="36"/>
  <c r="K42" i="36"/>
  <c r="H51" i="36"/>
  <c r="L96" i="27"/>
  <c r="L97" i="27"/>
  <c r="I105" i="27"/>
  <c r="E13" i="28" a="1"/>
  <c r="D12" i="26" a="1"/>
  <c r="E10" i="28" a="1"/>
  <c r="E14" i="28" a="1"/>
  <c r="D12" i="33" a="1"/>
  <c r="D10" i="28" a="1"/>
  <c r="D13" i="28" a="1"/>
  <c r="D12" i="36" a="1"/>
  <c r="N102" i="24" l="1"/>
  <c r="N14" i="39"/>
  <c r="H195" i="24"/>
  <c r="H36" i="28"/>
  <c r="N141" i="35"/>
  <c r="H295" i="24"/>
  <c r="N116" i="24"/>
  <c r="N103" i="24"/>
  <c r="O100" i="27"/>
  <c r="H73" i="28"/>
  <c r="H48" i="33"/>
  <c r="H152" i="33"/>
  <c r="H180" i="25"/>
  <c r="N41" i="25"/>
  <c r="N107" i="25"/>
  <c r="V37" i="27"/>
  <c r="H21" i="39"/>
  <c r="H77" i="35"/>
  <c r="N51" i="32"/>
  <c r="V146" i="24"/>
  <c r="N287" i="24"/>
  <c r="H231" i="24"/>
  <c r="H97" i="28"/>
  <c r="N73" i="33"/>
  <c r="N246" i="28"/>
  <c r="H109" i="25"/>
  <c r="H177" i="24"/>
  <c r="O68" i="27"/>
  <c r="H122" i="28"/>
  <c r="N72" i="32"/>
  <c r="H124" i="24"/>
  <c r="N147" i="33"/>
  <c r="N42" i="37"/>
  <c r="H230" i="28"/>
  <c r="H201" i="24"/>
  <c r="G55" i="39"/>
  <c r="N122" i="25"/>
  <c r="N124" i="24"/>
  <c r="N229" i="24"/>
  <c r="H43" i="32"/>
  <c r="N12" i="39"/>
  <c r="H37" i="35"/>
  <c r="H38" i="35"/>
  <c r="H200" i="28"/>
  <c r="H77" i="33"/>
  <c r="I45" i="27"/>
  <c r="H38" i="37"/>
  <c r="H43" i="28"/>
  <c r="N98" i="24"/>
  <c r="H76" i="33"/>
  <c r="V69" i="25"/>
  <c r="N145" i="33"/>
  <c r="I172" i="27"/>
  <c r="H42" i="32"/>
  <c r="H123" i="28"/>
  <c r="H74" i="25"/>
  <c r="H200" i="24"/>
  <c r="I128" i="27"/>
  <c r="N65" i="24"/>
  <c r="H162" i="25"/>
  <c r="O142" i="27"/>
  <c r="H67" i="24"/>
  <c r="P55" i="39"/>
  <c r="N184" i="25"/>
  <c r="N195" i="24"/>
  <c r="N220" i="28"/>
  <c r="N64" i="36"/>
  <c r="N87" i="28"/>
  <c r="H72" i="25"/>
  <c r="V96" i="25"/>
  <c r="H127" i="25"/>
  <c r="N39" i="28"/>
  <c r="H176" i="24"/>
  <c r="V36" i="33"/>
  <c r="N217" i="28"/>
  <c r="N262" i="24"/>
  <c r="H34" i="28"/>
  <c r="V11" i="39"/>
  <c r="H114" i="28"/>
  <c r="N281" i="24"/>
  <c r="U140" i="28"/>
  <c r="U88" i="24"/>
  <c r="AD88" i="24"/>
  <c r="N230" i="24"/>
  <c r="H207" i="24"/>
  <c r="H209" i="24"/>
  <c r="AD195" i="24"/>
  <c r="N66" i="36"/>
  <c r="H101" i="33"/>
  <c r="N177" i="28"/>
  <c r="H88" i="28"/>
  <c r="V282" i="24"/>
  <c r="AE112" i="28"/>
  <c r="N245" i="28"/>
  <c r="H196" i="24"/>
  <c r="H100" i="25"/>
  <c r="H165" i="25"/>
  <c r="H71" i="25"/>
  <c r="H74" i="32"/>
  <c r="H181" i="25"/>
  <c r="I92" i="27"/>
  <c r="N47" i="37"/>
  <c r="O120" i="27"/>
  <c r="T253" i="24"/>
  <c r="H205" i="24"/>
  <c r="V63" i="33"/>
  <c r="H143" i="28"/>
  <c r="H62" i="28"/>
  <c r="O146" i="27"/>
  <c r="H206" i="24"/>
  <c r="H210" i="24"/>
  <c r="H68" i="35"/>
  <c r="H50" i="24"/>
  <c r="O93" i="27"/>
  <c r="T11" i="37"/>
  <c r="T12" i="37" s="1"/>
  <c r="Y12" i="37" s="1"/>
  <c r="N255" i="28"/>
  <c r="O72" i="27"/>
  <c r="N122" i="24"/>
  <c r="U270" i="28"/>
  <c r="H19" i="39"/>
  <c r="N37" i="37"/>
  <c r="T146" i="24"/>
  <c r="T147" i="24" s="1"/>
  <c r="Y147" i="24" s="1"/>
  <c r="U151" i="24" s="1"/>
  <c r="N38" i="37"/>
  <c r="H184" i="24"/>
  <c r="H199" i="24"/>
  <c r="I48" i="27"/>
  <c r="H68" i="33"/>
  <c r="N155" i="24"/>
  <c r="U88" i="28"/>
  <c r="AE68" i="25"/>
  <c r="U196" i="24"/>
  <c r="N153" i="35"/>
  <c r="H66" i="32"/>
  <c r="H92" i="35"/>
  <c r="V219" i="28" a="1"/>
  <c r="V219" i="28" s="1"/>
  <c r="U42" i="25"/>
  <c r="T63" i="33"/>
  <c r="N123" i="28"/>
  <c r="N131" i="25"/>
  <c r="N72" i="33"/>
  <c r="L99" i="27"/>
  <c r="K45" i="36"/>
  <c r="K99" i="32"/>
  <c r="Q205" i="24"/>
  <c r="Q91" i="33"/>
  <c r="K45" i="35"/>
  <c r="K19" i="39"/>
  <c r="K43" i="25"/>
  <c r="K271" i="28"/>
  <c r="K65" i="33"/>
  <c r="K96" i="28"/>
  <c r="Q228" i="24"/>
  <c r="Q144" i="33"/>
  <c r="K153" i="25"/>
  <c r="K98" i="24"/>
  <c r="K70" i="28"/>
  <c r="K66" i="32"/>
  <c r="K89" i="28"/>
  <c r="K72" i="35"/>
  <c r="Q153" i="25"/>
  <c r="K262" i="24"/>
  <c r="K45" i="33"/>
  <c r="K38" i="35"/>
  <c r="L46" i="27"/>
  <c r="K118" i="36"/>
  <c r="K125" i="35"/>
  <c r="K45" i="24"/>
  <c r="Q44" i="28"/>
  <c r="L125" i="27"/>
  <c r="Q98" i="33"/>
  <c r="L73" i="27"/>
  <c r="Q70" i="28"/>
  <c r="K125" i="24"/>
  <c r="Q65" i="36"/>
  <c r="Q144" i="35"/>
  <c r="L118" i="27"/>
  <c r="K71" i="25"/>
  <c r="Q235" i="24"/>
  <c r="K12" i="39"/>
  <c r="Q252" i="28"/>
  <c r="K98" i="25"/>
  <c r="K245" i="28"/>
  <c r="K98" i="36"/>
  <c r="Q12" i="37"/>
  <c r="Q45" i="37"/>
  <c r="K252" i="28"/>
  <c r="K91" i="35"/>
  <c r="Q245" i="28"/>
  <c r="K72" i="33"/>
  <c r="Q262" i="24"/>
  <c r="Q118" i="33"/>
  <c r="Q147" i="24"/>
  <c r="K118" i="24"/>
  <c r="Q122" i="28"/>
  <c r="L92" i="27"/>
  <c r="Q92" i="32"/>
  <c r="K154" i="24"/>
  <c r="K148" i="28"/>
  <c r="Q91" i="36"/>
  <c r="Q167" i="28"/>
  <c r="Q193" i="28"/>
  <c r="Q38" i="36"/>
  <c r="K235" i="24"/>
  <c r="K160" i="25"/>
  <c r="Q291" i="24"/>
  <c r="Q38" i="37"/>
  <c r="K71" i="24"/>
  <c r="K38" i="37"/>
  <c r="K72" i="36"/>
  <c r="K151" i="35"/>
  <c r="Q278" i="28"/>
  <c r="K63" i="28"/>
  <c r="Q72" i="37"/>
  <c r="L39" i="27"/>
  <c r="K187" i="25"/>
  <c r="L177" i="27"/>
  <c r="K19" i="37"/>
  <c r="Q154" i="24"/>
  <c r="Q98" i="25"/>
  <c r="K65" i="37"/>
  <c r="R99" i="27"/>
  <c r="K193" i="28"/>
  <c r="R144" i="27"/>
  <c r="Q125" i="24"/>
  <c r="K98" i="33"/>
  <c r="Q200" i="28"/>
  <c r="K205" i="24"/>
  <c r="Q125" i="25"/>
  <c r="K181" i="24"/>
  <c r="L151" i="27"/>
  <c r="K46" i="32"/>
  <c r="Q187" i="25"/>
  <c r="K72" i="37"/>
  <c r="Q141" i="28"/>
  <c r="Q38" i="33"/>
  <c r="K200" i="28"/>
  <c r="Q45" i="33"/>
  <c r="Q45" i="36"/>
  <c r="L144" i="27"/>
  <c r="K132" i="25"/>
  <c r="K144" i="35"/>
  <c r="R151" i="27"/>
  <c r="K92" i="32"/>
  <c r="Q118" i="36"/>
  <c r="K50" i="25"/>
  <c r="Q118" i="24"/>
  <c r="R125" i="27"/>
  <c r="K91" i="36"/>
  <c r="K228" i="24"/>
  <c r="K38" i="24"/>
  <c r="K65" i="36"/>
  <c r="Q255" i="24"/>
  <c r="K174" i="28"/>
  <c r="K39" i="32"/>
  <c r="Q12" i="39"/>
  <c r="Q50" i="25"/>
  <c r="K255" i="24"/>
  <c r="Q72" i="36"/>
  <c r="K125" i="36"/>
  <c r="K118" i="33"/>
  <c r="R39" i="27"/>
  <c r="Q125" i="36"/>
  <c r="Q226" i="28"/>
  <c r="Q64" i="24"/>
  <c r="Q71" i="25"/>
  <c r="Q73" i="32"/>
  <c r="K141" i="28"/>
  <c r="K91" i="33"/>
  <c r="Q43" i="25"/>
  <c r="R66" i="27"/>
  <c r="K12" i="37"/>
  <c r="Q174" i="28"/>
  <c r="K226" i="28"/>
  <c r="Q98" i="24"/>
  <c r="Q45" i="24"/>
  <c r="Q89" i="28"/>
  <c r="K118" i="35"/>
  <c r="K78" i="25"/>
  <c r="K45" i="37"/>
  <c r="Q66" i="32"/>
  <c r="K291" i="24"/>
  <c r="R73" i="27"/>
  <c r="Q132" i="25"/>
  <c r="Q180" i="25"/>
  <c r="K125" i="33"/>
  <c r="K38" i="36"/>
  <c r="Q65" i="37"/>
  <c r="K278" i="28"/>
  <c r="Q38" i="24"/>
  <c r="K37" i="28"/>
  <c r="K180" i="25"/>
  <c r="K105" i="25"/>
  <c r="Q91" i="24"/>
  <c r="Q271" i="28"/>
  <c r="K91" i="24"/>
  <c r="Q160" i="25"/>
  <c r="Q19" i="37"/>
  <c r="Q115" i="28"/>
  <c r="R46" i="27"/>
  <c r="R118" i="27"/>
  <c r="R92" i="27"/>
  <c r="K144" i="33"/>
  <c r="K38" i="33"/>
  <c r="Q72" i="33"/>
  <c r="K125" i="25"/>
  <c r="Q284" i="24"/>
  <c r="Q219" i="28"/>
  <c r="K147" i="24"/>
  <c r="Q181" i="24"/>
  <c r="K198" i="24"/>
  <c r="K151" i="33"/>
  <c r="Q96" i="28"/>
  <c r="Q105" i="25"/>
  <c r="K122" i="28"/>
  <c r="Q71" i="24"/>
  <c r="Q63" i="28"/>
  <c r="Q37" i="28"/>
  <c r="Q148" i="28"/>
  <c r="K284" i="24"/>
  <c r="Q78" i="25"/>
  <c r="Q98" i="36"/>
  <c r="K73" i="32"/>
  <c r="Q99" i="32"/>
  <c r="Q39" i="32"/>
  <c r="L66" i="27"/>
  <c r="Q65" i="33"/>
  <c r="Q46" i="32"/>
  <c r="K167" i="28"/>
  <c r="Q125" i="33"/>
  <c r="K98" i="35"/>
  <c r="K219" i="28"/>
  <c r="K115" i="28"/>
  <c r="Q151" i="35"/>
  <c r="K174" i="24"/>
  <c r="Q151" i="33"/>
  <c r="Q198" i="24"/>
  <c r="Q174" i="24"/>
  <c r="L170" i="27"/>
  <c r="K44" i="28"/>
  <c r="K64" i="24"/>
  <c r="K65" i="35"/>
  <c r="N115" i="24"/>
  <c r="H150" i="25"/>
  <c r="H44" i="33"/>
  <c r="V145" i="24"/>
  <c r="N129" i="33"/>
  <c r="H254" i="24"/>
  <c r="H99" i="32"/>
  <c r="N97" i="36"/>
  <c r="D54" i="39"/>
  <c r="I50" i="27"/>
  <c r="N42" i="25"/>
  <c r="N108" i="25"/>
  <c r="H74" i="24"/>
  <c r="H63" i="33"/>
  <c r="AD94" i="25"/>
  <c r="N152" i="33"/>
  <c r="H20" i="39"/>
  <c r="N51" i="25"/>
  <c r="H37" i="33"/>
  <c r="N104" i="25"/>
  <c r="H44" i="28"/>
  <c r="H74" i="28"/>
  <c r="N64" i="32"/>
  <c r="H99" i="24"/>
  <c r="N274" i="28"/>
  <c r="V88" i="24"/>
  <c r="U178" i="25"/>
  <c r="H73" i="33"/>
  <c r="AE242" i="28"/>
  <c r="U96" i="25"/>
  <c r="H11" i="39"/>
  <c r="AD198" i="24"/>
  <c r="AD68" i="25"/>
  <c r="H71" i="35"/>
  <c r="H47" i="33"/>
  <c r="H72" i="35"/>
  <c r="H66" i="28"/>
  <c r="H65" i="33"/>
  <c r="U172" i="24"/>
  <c r="N248" i="28"/>
  <c r="U65" i="27"/>
  <c r="U66" i="27" s="1"/>
  <c r="Z66" i="27" s="1"/>
  <c r="V62" i="24"/>
  <c r="AD38" i="37"/>
  <c r="N77" i="33"/>
  <c r="H186" i="24"/>
  <c r="I120" i="27"/>
  <c r="N229" i="28"/>
  <c r="N223" i="28"/>
  <c r="V172" i="24"/>
  <c r="I116" i="27"/>
  <c r="N77" i="36"/>
  <c r="AD36" i="28"/>
  <c r="H101" i="28"/>
  <c r="H292" i="24"/>
  <c r="N99" i="24"/>
  <c r="H283" i="24"/>
  <c r="U151" i="25"/>
  <c r="N74" i="32"/>
  <c r="N155" i="33"/>
  <c r="H69" i="35"/>
  <c r="O118" i="27"/>
  <c r="H256" i="28"/>
  <c r="H119" i="35"/>
  <c r="N261" i="24"/>
  <c r="I127" i="27"/>
  <c r="N268" i="28"/>
  <c r="I93" i="27"/>
  <c r="N153" i="28"/>
  <c r="M54" i="39"/>
  <c r="I77" i="27"/>
  <c r="H161" i="25"/>
  <c r="H75" i="32"/>
  <c r="N44" i="28"/>
  <c r="V116" i="24"/>
  <c r="N193" i="28"/>
  <c r="N63" i="36"/>
  <c r="H44" i="24"/>
  <c r="T218" i="28"/>
  <c r="T219" i="28" s="1"/>
  <c r="Y219" i="28" s="1"/>
  <c r="U223" i="28" s="1"/>
  <c r="T41" i="25"/>
  <c r="H231" i="28"/>
  <c r="N48" i="33"/>
  <c r="N278" i="28"/>
  <c r="N237" i="24"/>
  <c r="N88" i="24"/>
  <c r="N144" i="24"/>
  <c r="T196" i="24"/>
  <c r="AE40" i="25"/>
  <c r="N185" i="24"/>
  <c r="N88" i="28"/>
  <c r="N75" i="36"/>
  <c r="H70" i="24"/>
  <c r="H93" i="35"/>
  <c r="S96" i="25"/>
  <c r="H16" i="39"/>
  <c r="I47" i="27"/>
  <c r="I126" i="27"/>
  <c r="I39" i="27"/>
  <c r="N63" i="32"/>
  <c r="N92" i="24"/>
  <c r="H182" i="24"/>
  <c r="T36" i="28"/>
  <c r="T37" i="28" s="1"/>
  <c r="Y37" i="28" s="1"/>
  <c r="U41" i="28" s="1"/>
  <c r="H39" i="28"/>
  <c r="I46" i="27"/>
  <c r="N283" i="24"/>
  <c r="H108" i="25"/>
  <c r="H226" i="24"/>
  <c r="N151" i="24"/>
  <c r="T143" i="33"/>
  <c r="T144" i="33" s="1"/>
  <c r="Y144" i="33" s="1"/>
  <c r="I129" i="27"/>
  <c r="V97" i="25"/>
  <c r="N286" i="24"/>
  <c r="N292" i="24"/>
  <c r="V98" i="25" a="1"/>
  <c r="V98" i="25" s="1"/>
  <c r="H225" i="24"/>
  <c r="H64" i="32"/>
  <c r="N154" i="33"/>
  <c r="H116" i="35"/>
  <c r="N178" i="28"/>
  <c r="H151" i="25"/>
  <c r="H65" i="28"/>
  <c r="T65" i="32"/>
  <c r="T66" i="32" s="1"/>
  <c r="Y66" i="32" s="1"/>
  <c r="N282" i="24"/>
  <c r="T282" i="24"/>
  <c r="AE62" i="33"/>
  <c r="H71" i="24"/>
  <c r="N253" i="24"/>
  <c r="S97" i="25"/>
  <c r="T270" i="28"/>
  <c r="T271" i="28" s="1"/>
  <c r="Y271" i="28" s="1"/>
  <c r="V178" i="25"/>
  <c r="U191" i="28"/>
  <c r="AD166" i="28"/>
  <c r="H67" i="28"/>
  <c r="O153" i="27"/>
  <c r="U142" i="33"/>
  <c r="N62" i="33"/>
  <c r="H79" i="25"/>
  <c r="N152" i="28"/>
  <c r="N126" i="24"/>
  <c r="T178" i="25"/>
  <c r="N226" i="24"/>
  <c r="N13" i="39"/>
  <c r="N143" i="35"/>
  <c r="O78" i="27"/>
  <c r="H125" i="28"/>
  <c r="N66" i="32"/>
  <c r="H183" i="25"/>
  <c r="U62" i="24"/>
  <c r="AE63" i="32"/>
  <c r="N38" i="28"/>
  <c r="H185" i="24"/>
  <c r="H126" i="25"/>
  <c r="H45" i="28"/>
  <c r="H41" i="32"/>
  <c r="H44" i="37"/>
  <c r="N254" i="28"/>
  <c r="N133" i="25"/>
  <c r="N95" i="24"/>
  <c r="H223" i="28"/>
  <c r="H122" i="24"/>
  <c r="H63" i="24"/>
  <c r="H113" i="28"/>
  <c r="O147" i="27"/>
  <c r="N54" i="25"/>
  <c r="H228" i="24"/>
  <c r="I42" i="27"/>
  <c r="H127" i="28"/>
  <c r="H177" i="25"/>
  <c r="H144" i="28"/>
  <c r="N117" i="24"/>
  <c r="H172" i="24"/>
  <c r="H174" i="24"/>
  <c r="N253" i="28"/>
  <c r="O98" i="27"/>
  <c r="AE9" i="37"/>
  <c r="N146" i="33"/>
  <c r="AD112" i="28"/>
  <c r="N100" i="24"/>
  <c r="H230" i="24"/>
  <c r="H229" i="24"/>
  <c r="U254" i="24"/>
  <c r="H177" i="28"/>
  <c r="V179" i="25"/>
  <c r="N122" i="28"/>
  <c r="H37" i="32"/>
  <c r="O63" i="27"/>
  <c r="AO26" i="27" s="1"/>
  <c r="AE9" i="39"/>
  <c r="H218" i="28"/>
  <c r="V143" i="35"/>
  <c r="N125" i="24"/>
  <c r="H189" i="25"/>
  <c r="H145" i="33"/>
  <c r="U139" i="28"/>
  <c r="N41" i="28"/>
  <c r="O154" i="27"/>
  <c r="H60" i="28"/>
  <c r="N161" i="25"/>
  <c r="H9" i="39"/>
  <c r="N293" i="24"/>
  <c r="AD125" i="25"/>
  <c r="H182" i="25"/>
  <c r="N74" i="24"/>
  <c r="H137" i="25"/>
  <c r="H139" i="28"/>
  <c r="N97" i="25"/>
  <c r="H293" i="24"/>
  <c r="U64" i="33"/>
  <c r="AD141" i="28"/>
  <c r="H148" i="33"/>
  <c r="N144" i="28"/>
  <c r="H63" i="35"/>
  <c r="AE141" i="33"/>
  <c r="N44" i="25"/>
  <c r="H236" i="24"/>
  <c r="U10" i="39"/>
  <c r="H39" i="24"/>
  <c r="H153" i="28"/>
  <c r="T140" i="28"/>
  <c r="T141" i="28" s="1"/>
  <c r="Y141" i="28" s="1"/>
  <c r="N230" i="28"/>
  <c r="U143" i="27"/>
  <c r="U144" i="27" s="1"/>
  <c r="Z144" i="27" s="1"/>
  <c r="V148" i="27" s="1"/>
  <c r="N251" i="28"/>
  <c r="N129" i="24"/>
  <c r="AD150" i="25"/>
  <c r="V284" i="24" a="1"/>
  <c r="V284" i="24" s="1"/>
  <c r="H150" i="33"/>
  <c r="N74" i="36"/>
  <c r="T96" i="25"/>
  <c r="H180" i="24"/>
  <c r="N13" i="37"/>
  <c r="S179" i="25"/>
  <c r="N137" i="25"/>
  <c r="H133" i="25"/>
  <c r="AD88" i="28"/>
  <c r="H66" i="37"/>
  <c r="H70" i="25"/>
  <c r="H95" i="24"/>
  <c r="H48" i="28"/>
  <c r="U91" i="27"/>
  <c r="U92" i="27" s="1"/>
  <c r="Z92" i="27" s="1"/>
  <c r="V96" i="27" s="1"/>
  <c r="H50" i="36"/>
  <c r="H18" i="39"/>
  <c r="H92" i="33"/>
  <c r="N167" i="28"/>
  <c r="S178" i="25"/>
  <c r="AE95" i="25"/>
  <c r="W65" i="27"/>
  <c r="T10" i="39"/>
  <c r="U36" i="24"/>
  <c r="V139" i="28"/>
  <c r="H164" i="25"/>
  <c r="N144" i="33"/>
  <c r="O99" i="27"/>
  <c r="V244" i="28"/>
  <c r="N102" i="25"/>
  <c r="N173" i="28"/>
  <c r="H140" i="28"/>
  <c r="N148" i="24"/>
  <c r="N249" i="28"/>
  <c r="AD225" i="24"/>
  <c r="U283" i="24"/>
  <c r="O90" i="27"/>
  <c r="N52" i="25"/>
  <c r="H81" i="25"/>
  <c r="T97" i="25"/>
  <c r="T98" i="25" s="1"/>
  <c r="Y98" i="25" s="1"/>
  <c r="T139" i="28"/>
  <c r="V140" i="28"/>
  <c r="H147" i="28"/>
  <c r="N256" i="28"/>
  <c r="H65" i="24"/>
  <c r="N153" i="24"/>
  <c r="H238" i="24"/>
  <c r="H22" i="39"/>
  <c r="H237" i="24"/>
  <c r="N100" i="25"/>
  <c r="N242" i="28"/>
  <c r="U146" i="24"/>
  <c r="H13" i="39"/>
  <c r="T42" i="25"/>
  <c r="T43" i="25" s="1"/>
  <c r="Y43" i="25" s="1"/>
  <c r="U47" i="25" s="1"/>
  <c r="N96" i="25"/>
  <c r="H75" i="28"/>
  <c r="H151" i="35"/>
  <c r="N195" i="28"/>
  <c r="H97" i="25"/>
  <c r="H116" i="28"/>
  <c r="T283" i="24"/>
  <c r="T284" i="24" s="1"/>
  <c r="Y284" i="24" s="1"/>
  <c r="H143" i="35"/>
  <c r="N45" i="25"/>
  <c r="H175" i="24"/>
  <c r="H46" i="24"/>
  <c r="N257" i="28"/>
  <c r="U36" i="33"/>
  <c r="N40" i="37"/>
  <c r="N271" i="28"/>
  <c r="H138" i="28"/>
  <c r="H157" i="25"/>
  <c r="AD66" i="32"/>
  <c r="H91" i="28"/>
  <c r="H90" i="28"/>
  <c r="V11" i="37"/>
  <c r="H99" i="25"/>
  <c r="AD91" i="33"/>
  <c r="N141" i="33"/>
  <c r="H124" i="36"/>
  <c r="N48" i="36"/>
  <c r="H99" i="36"/>
  <c r="H247" i="28"/>
  <c r="N71" i="25"/>
  <c r="N97" i="33"/>
  <c r="H38" i="36"/>
  <c r="H280" i="28"/>
  <c r="N127" i="36"/>
  <c r="W38" i="27"/>
  <c r="D34" i="41"/>
  <c r="H63" i="36"/>
  <c r="N35" i="33"/>
  <c r="H49" i="25"/>
  <c r="AD63" i="24"/>
  <c r="AD63" i="28"/>
  <c r="AD143" i="35"/>
  <c r="I181" i="27"/>
  <c r="H69" i="37"/>
  <c r="T191" i="28"/>
  <c r="N128" i="33"/>
  <c r="N124" i="28"/>
  <c r="N35" i="28"/>
  <c r="T64" i="33"/>
  <c r="T65" i="33" s="1"/>
  <c r="Y65" i="33" s="1"/>
  <c r="U70" i="33" s="1"/>
  <c r="AE150" i="25"/>
  <c r="N270" i="28"/>
  <c r="H72" i="24"/>
  <c r="N12" i="37"/>
  <c r="N90" i="24"/>
  <c r="V227" i="24"/>
  <c r="N18" i="39"/>
  <c r="N145" i="35"/>
  <c r="O73" i="27"/>
  <c r="N41" i="37"/>
  <c r="O143" i="27"/>
  <c r="T123" i="25"/>
  <c r="N15" i="37"/>
  <c r="H65" i="35"/>
  <c r="H105" i="25"/>
  <c r="H67" i="32"/>
  <c r="N149" i="28"/>
  <c r="H129" i="33"/>
  <c r="AD9" i="39"/>
  <c r="H94" i="33"/>
  <c r="N196" i="28"/>
  <c r="H246" i="28"/>
  <c r="V63" i="37"/>
  <c r="H47" i="28"/>
  <c r="H154" i="25"/>
  <c r="AD60" i="28"/>
  <c r="N144" i="35"/>
  <c r="H100" i="33"/>
  <c r="H192" i="25"/>
  <c r="H155" i="33"/>
  <c r="N101" i="24"/>
  <c r="H118" i="28"/>
  <c r="T113" i="28"/>
  <c r="N70" i="32"/>
  <c r="T36" i="37"/>
  <c r="V36" i="28"/>
  <c r="H93" i="33"/>
  <c r="H204" i="24"/>
  <c r="T88" i="28"/>
  <c r="T89" i="28" s="1"/>
  <c r="Y89" i="28" s="1"/>
  <c r="U87" i="28"/>
  <c r="U89" i="28" s="1"/>
  <c r="N68" i="32"/>
  <c r="AD97" i="25"/>
  <c r="AD218" i="28"/>
  <c r="H103" i="33"/>
  <c r="N90" i="28"/>
  <c r="O101" i="27"/>
  <c r="V87" i="28"/>
  <c r="N93" i="24"/>
  <c r="H77" i="32"/>
  <c r="N47" i="25"/>
  <c r="V37" i="28" a="1"/>
  <c r="V37" i="28" s="1"/>
  <c r="N68" i="36"/>
  <c r="H188" i="25"/>
  <c r="N145" i="24"/>
  <c r="H65" i="32"/>
  <c r="V36" i="37"/>
  <c r="AD11" i="39"/>
  <c r="N120" i="24"/>
  <c r="T124" i="25"/>
  <c r="T125" i="25" s="1"/>
  <c r="Y125" i="25" s="1"/>
  <c r="H117" i="35"/>
  <c r="V143" i="27"/>
  <c r="H142" i="28"/>
  <c r="H101" i="24"/>
  <c r="V89" i="28" a="1"/>
  <c r="V89" i="28" s="1"/>
  <c r="N282" i="28"/>
  <c r="U64" i="32"/>
  <c r="I90" i="27"/>
  <c r="N36" i="32"/>
  <c r="N10" i="39"/>
  <c r="N128" i="24"/>
  <c r="H15" i="39"/>
  <c r="N15" i="39"/>
  <c r="N63" i="33"/>
  <c r="U117" i="27"/>
  <c r="U118" i="27" s="1"/>
  <c r="Z118" i="27" s="1"/>
  <c r="V122" i="27" s="1"/>
  <c r="N118" i="24"/>
  <c r="H99" i="33"/>
  <c r="U192" i="28"/>
  <c r="V117" i="24"/>
  <c r="N150" i="35"/>
  <c r="H132" i="25"/>
  <c r="N97" i="24"/>
  <c r="N96" i="24" s="1"/>
  <c r="V196" i="24"/>
  <c r="AE141" i="35"/>
  <c r="H35" i="37"/>
  <c r="N147" i="35"/>
  <c r="H88" i="24"/>
  <c r="H117" i="28"/>
  <c r="AE86" i="24"/>
  <c r="N285" i="24"/>
  <c r="N176" i="28"/>
  <c r="N47" i="28"/>
  <c r="U117" i="24"/>
  <c r="N49" i="25"/>
  <c r="O96" i="27"/>
  <c r="H202" i="24"/>
  <c r="V88" i="28"/>
  <c r="N296" i="24"/>
  <c r="O70" i="27"/>
  <c r="H106" i="25"/>
  <c r="H225" i="28"/>
  <c r="N36" i="37"/>
  <c r="AD37" i="28"/>
  <c r="N119" i="24"/>
  <c r="H62" i="33"/>
  <c r="N91" i="24"/>
  <c r="H73" i="32"/>
  <c r="T37" i="32"/>
  <c r="AE86" i="28"/>
  <c r="AF63" i="27"/>
  <c r="N148" i="35"/>
  <c r="AE268" i="28"/>
  <c r="H119" i="28"/>
  <c r="O102" i="27"/>
  <c r="H39" i="33"/>
  <c r="N9" i="39"/>
  <c r="AE171" i="24"/>
  <c r="H120" i="24"/>
  <c r="N294" i="24"/>
  <c r="H76" i="35"/>
  <c r="H145" i="28"/>
  <c r="H42" i="33"/>
  <c r="T117" i="24"/>
  <c r="T118" i="24" s="1"/>
  <c r="Y118" i="24" s="1"/>
  <c r="H197" i="24"/>
  <c r="U89" i="33"/>
  <c r="N89" i="24"/>
  <c r="H208" i="24"/>
  <c r="T87" i="28"/>
  <c r="AF89" i="27"/>
  <c r="V143" i="33"/>
  <c r="V89" i="24" a="1"/>
  <c r="V89" i="24" s="1"/>
  <c r="H45" i="32"/>
  <c r="H74" i="35"/>
  <c r="U218" i="28"/>
  <c r="H55" i="25"/>
  <c r="AD141" i="33"/>
  <c r="H96" i="25"/>
  <c r="H49" i="33"/>
  <c r="U36" i="37"/>
  <c r="N156" i="24"/>
  <c r="AE144" i="24"/>
  <c r="H41" i="33"/>
  <c r="H102" i="25"/>
  <c r="N39" i="37"/>
  <c r="H48" i="37"/>
  <c r="AD37" i="37"/>
  <c r="I117" i="27"/>
  <c r="H24" i="39"/>
  <c r="N11" i="39"/>
  <c r="N142" i="35"/>
  <c r="T36" i="33"/>
  <c r="AD179" i="25"/>
  <c r="AD122" i="25"/>
  <c r="N43" i="28"/>
  <c r="O91" i="27"/>
  <c r="H256" i="24"/>
  <c r="H198" i="24"/>
  <c r="H173" i="24"/>
  <c r="N148" i="28"/>
  <c r="N145" i="28"/>
  <c r="N148" i="33"/>
  <c r="H36" i="32"/>
  <c r="O151" i="27"/>
  <c r="N94" i="24"/>
  <c r="O103" i="27"/>
  <c r="U65" i="32"/>
  <c r="N22" i="37"/>
  <c r="U244" i="28"/>
  <c r="N295" i="24"/>
  <c r="H47" i="32"/>
  <c r="H104" i="25"/>
  <c r="N37" i="28"/>
  <c r="H45" i="37"/>
  <c r="H181" i="24"/>
  <c r="AE88" i="36"/>
  <c r="N142" i="28"/>
  <c r="V116" i="27"/>
  <c r="H76" i="32"/>
  <c r="N150" i="24"/>
  <c r="N50" i="37"/>
  <c r="N73" i="32"/>
  <c r="H88" i="33"/>
  <c r="N187" i="25"/>
  <c r="H70" i="28"/>
  <c r="N153" i="25"/>
  <c r="N171" i="24"/>
  <c r="V12" i="39" a="1"/>
  <c r="V12" i="39" s="1"/>
  <c r="H121" i="35"/>
  <c r="N171" i="28"/>
  <c r="AD219" i="28"/>
  <c r="G54" i="39"/>
  <c r="V151" i="25"/>
  <c r="N10" i="37"/>
  <c r="AD118" i="24"/>
  <c r="AE36" i="27"/>
  <c r="H102" i="24"/>
  <c r="H87" i="28"/>
  <c r="N62" i="28"/>
  <c r="O150" i="27"/>
  <c r="N105" i="25"/>
  <c r="V144" i="35" a="1"/>
  <c r="V144" i="35" s="1"/>
  <c r="AE62" i="36"/>
  <c r="H129" i="24"/>
  <c r="H168" i="28"/>
  <c r="N106" i="25"/>
  <c r="H291" i="24"/>
  <c r="N201" i="28"/>
  <c r="U123" i="25"/>
  <c r="N68" i="33"/>
  <c r="H178" i="25"/>
  <c r="H239" i="24"/>
  <c r="H101" i="25"/>
  <c r="H76" i="24"/>
  <c r="N49" i="37"/>
  <c r="H48" i="32"/>
  <c r="N115" i="28"/>
  <c r="H37" i="37"/>
  <c r="AD36" i="32"/>
  <c r="T172" i="24"/>
  <c r="N151" i="33"/>
  <c r="AD95" i="25"/>
  <c r="T217" i="28"/>
  <c r="N151" i="35"/>
  <c r="N45" i="37"/>
  <c r="N281" i="28"/>
  <c r="H98" i="25"/>
  <c r="AF115" i="27"/>
  <c r="AD63" i="32"/>
  <c r="H69" i="32"/>
  <c r="H50" i="32"/>
  <c r="H35" i="36"/>
  <c r="H141" i="28"/>
  <c r="N49" i="32"/>
  <c r="N65" i="28"/>
  <c r="H173" i="28"/>
  <c r="V35" i="28"/>
  <c r="N219" i="28"/>
  <c r="AD71" i="25"/>
  <c r="AD77" i="25" s="1"/>
  <c r="V64" i="32"/>
  <c r="T88" i="24"/>
  <c r="T89" i="24" s="1"/>
  <c r="Y89" i="24" s="1"/>
  <c r="U94" i="24" s="1"/>
  <c r="H179" i="25"/>
  <c r="H179" i="28"/>
  <c r="V65" i="33" a="1"/>
  <c r="V65" i="33" s="1"/>
  <c r="H40" i="37"/>
  <c r="N53" i="25"/>
  <c r="N50" i="25"/>
  <c r="N64" i="33"/>
  <c r="H49" i="37"/>
  <c r="AD177" i="25"/>
  <c r="N121" i="24"/>
  <c r="AE176" i="25"/>
  <c r="H190" i="25"/>
  <c r="I122" i="27"/>
  <c r="H83" i="25"/>
  <c r="H67" i="33"/>
  <c r="U37" i="32"/>
  <c r="H155" i="25"/>
  <c r="N76" i="36"/>
  <c r="V91" i="27"/>
  <c r="H126" i="28"/>
  <c r="N46" i="28"/>
  <c r="H125" i="35"/>
  <c r="N142" i="33"/>
  <c r="AD61" i="24"/>
  <c r="AD124" i="25"/>
  <c r="H40" i="32"/>
  <c r="N24" i="37"/>
  <c r="N226" i="28"/>
  <c r="H110" i="25"/>
  <c r="N150" i="33"/>
  <c r="W116" i="27"/>
  <c r="N138" i="28"/>
  <c r="N149" i="24"/>
  <c r="T142" i="33"/>
  <c r="N49" i="28"/>
  <c r="N101" i="28"/>
  <c r="V113" i="28"/>
  <c r="N55" i="25"/>
  <c r="H42" i="37"/>
  <c r="H14" i="39"/>
  <c r="U11" i="39"/>
  <c r="V87" i="24"/>
  <c r="N252" i="24"/>
  <c r="V141" i="28" a="1"/>
  <c r="V141" i="28" s="1"/>
  <c r="N225" i="28"/>
  <c r="H130" i="35"/>
  <c r="N186" i="25"/>
  <c r="H41" i="37"/>
  <c r="N139" i="28"/>
  <c r="V144" i="33" a="1"/>
  <c r="V144" i="33" s="1"/>
  <c r="H184" i="25"/>
  <c r="H152" i="25"/>
  <c r="H95" i="25"/>
  <c r="N146" i="24"/>
  <c r="H183" i="24"/>
  <c r="H66" i="24"/>
  <c r="H73" i="24"/>
  <c r="H128" i="36"/>
  <c r="N118" i="28"/>
  <c r="H50" i="37"/>
  <c r="U116" i="27"/>
  <c r="H47" i="37"/>
  <c r="N154" i="35"/>
  <c r="N156" i="35"/>
  <c r="N20" i="37"/>
  <c r="N18" i="37"/>
  <c r="AD180" i="25"/>
  <c r="H191" i="25"/>
  <c r="H186" i="25"/>
  <c r="H187" i="25"/>
  <c r="AE115" i="27"/>
  <c r="N36" i="28"/>
  <c r="T11" i="39"/>
  <c r="H38" i="32"/>
  <c r="V38" i="24" a="1"/>
  <c r="V38" i="24" s="1"/>
  <c r="I125" i="27"/>
  <c r="V37" i="37"/>
  <c r="N34" i="28"/>
  <c r="V66" i="32" a="1"/>
  <c r="V66" i="32" s="1"/>
  <c r="U143" i="33"/>
  <c r="N228" i="28"/>
  <c r="H36" i="37"/>
  <c r="H51" i="32"/>
  <c r="N152" i="35"/>
  <c r="N150" i="28"/>
  <c r="V125" i="25" a="1"/>
  <c r="V125" i="25" s="1"/>
  <c r="H39" i="37"/>
  <c r="H149" i="28"/>
  <c r="H121" i="24"/>
  <c r="N62" i="36"/>
  <c r="N147" i="28"/>
  <c r="H107" i="25"/>
  <c r="AD34" i="28"/>
  <c r="N158" i="24"/>
  <c r="AD171" i="24"/>
  <c r="N16" i="39"/>
  <c r="AE115" i="24"/>
  <c r="N35" i="37"/>
  <c r="V153" i="25" a="1"/>
  <c r="V153" i="25" s="1"/>
  <c r="H49" i="32"/>
  <c r="N159" i="24"/>
  <c r="H148" i="28"/>
  <c r="AD64" i="33"/>
  <c r="N67" i="33"/>
  <c r="N154" i="24"/>
  <c r="I124" i="27"/>
  <c r="H70" i="32"/>
  <c r="H78" i="32"/>
  <c r="N48" i="37"/>
  <c r="N94" i="33"/>
  <c r="AE63" i="27"/>
  <c r="I69" i="27"/>
  <c r="H22" i="37"/>
  <c r="H18" i="37"/>
  <c r="H17" i="37" s="1"/>
  <c r="H19" i="37"/>
  <c r="J54" i="39"/>
  <c r="N94" i="36"/>
  <c r="N88" i="36"/>
  <c r="U197" i="24"/>
  <c r="N197" i="24"/>
  <c r="N95" i="32"/>
  <c r="V91" i="32"/>
  <c r="N104" i="32"/>
  <c r="N92" i="32"/>
  <c r="U37" i="33"/>
  <c r="N47" i="33"/>
  <c r="N46" i="33"/>
  <c r="AE35" i="33"/>
  <c r="N36" i="33"/>
  <c r="N37" i="33"/>
  <c r="M55" i="39"/>
  <c r="G46" i="41"/>
  <c r="G39" i="41"/>
  <c r="H44" i="35"/>
  <c r="H35" i="35"/>
  <c r="H118" i="33"/>
  <c r="I101" i="27"/>
  <c r="N36" i="24"/>
  <c r="N46" i="24"/>
  <c r="I147" i="27"/>
  <c r="I154" i="27"/>
  <c r="I148" i="27"/>
  <c r="H255" i="28"/>
  <c r="N103" i="33"/>
  <c r="AD42" i="25"/>
  <c r="H128" i="35"/>
  <c r="G40" i="41"/>
  <c r="H94" i="32"/>
  <c r="V38" i="32"/>
  <c r="N200" i="24"/>
  <c r="AD227" i="24"/>
  <c r="O41" i="27"/>
  <c r="N40" i="24"/>
  <c r="H267" i="24"/>
  <c r="T269" i="28"/>
  <c r="H103" i="36"/>
  <c r="AD117" i="36"/>
  <c r="N209" i="24"/>
  <c r="N71" i="28"/>
  <c r="AE36" i="32"/>
  <c r="H271" i="28"/>
  <c r="D26" i="41"/>
  <c r="AD255" i="24"/>
  <c r="H119" i="33"/>
  <c r="H62" i="36"/>
  <c r="I155" i="27"/>
  <c r="H100" i="32"/>
  <c r="H245" i="28"/>
  <c r="N202" i="24"/>
  <c r="AD90" i="33"/>
  <c r="N75" i="25"/>
  <c r="AD62" i="37"/>
  <c r="H50" i="25"/>
  <c r="I144" i="27"/>
  <c r="U116" i="36"/>
  <c r="N199" i="24"/>
  <c r="AD193" i="28"/>
  <c r="H92" i="28"/>
  <c r="N69" i="28"/>
  <c r="H51" i="25"/>
  <c r="N100" i="33"/>
  <c r="T90" i="33"/>
  <c r="T91" i="33" s="1"/>
  <c r="Y91" i="33" s="1"/>
  <c r="U96" i="33" s="1"/>
  <c r="N125" i="28"/>
  <c r="H49" i="36"/>
  <c r="T227" i="24"/>
  <c r="T228" i="24" s="1"/>
  <c r="Y228" i="24" s="1"/>
  <c r="U232" i="24" s="1"/>
  <c r="N236" i="24"/>
  <c r="N234" i="24"/>
  <c r="H90" i="32"/>
  <c r="AD89" i="32"/>
  <c r="H98" i="32"/>
  <c r="H97" i="32" s="1"/>
  <c r="AD43" i="25"/>
  <c r="H47" i="25"/>
  <c r="H45" i="25"/>
  <c r="N69" i="32"/>
  <c r="N76" i="32"/>
  <c r="V270" i="28"/>
  <c r="H159" i="24"/>
  <c r="AD143" i="33"/>
  <c r="H141" i="35"/>
  <c r="H125" i="33"/>
  <c r="V165" i="28"/>
  <c r="V64" i="33"/>
  <c r="N70" i="24"/>
  <c r="N50" i="36"/>
  <c r="U90" i="36"/>
  <c r="H64" i="36"/>
  <c r="N35" i="36"/>
  <c r="H195" i="28"/>
  <c r="H62" i="37"/>
  <c r="I153" i="27"/>
  <c r="H39" i="36"/>
  <c r="H248" i="28"/>
  <c r="H95" i="32"/>
  <c r="AE115" i="36"/>
  <c r="N78" i="32"/>
  <c r="T63" i="37"/>
  <c r="N73" i="25"/>
  <c r="AE35" i="36"/>
  <c r="AD11" i="37"/>
  <c r="N165" i="25"/>
  <c r="AD117" i="33"/>
  <c r="N155" i="35"/>
  <c r="H93" i="32"/>
  <c r="V191" i="28"/>
  <c r="I94" i="27"/>
  <c r="I75" i="27"/>
  <c r="T89" i="36"/>
  <c r="H94" i="36"/>
  <c r="V89" i="36"/>
  <c r="AD90" i="36"/>
  <c r="H145" i="24"/>
  <c r="N42" i="32"/>
  <c r="H120" i="33"/>
  <c r="U90" i="27"/>
  <c r="AD242" i="28"/>
  <c r="V63" i="24"/>
  <c r="H255" i="24"/>
  <c r="N89" i="33"/>
  <c r="N92" i="36"/>
  <c r="N196" i="24"/>
  <c r="N46" i="32"/>
  <c r="H196" i="28"/>
  <c r="H64" i="37"/>
  <c r="AE195" i="24"/>
  <c r="N62" i="24"/>
  <c r="H259" i="24"/>
  <c r="H121" i="33"/>
  <c r="H67" i="37"/>
  <c r="U90" i="32"/>
  <c r="H157" i="24"/>
  <c r="N49" i="24"/>
  <c r="H263" i="24"/>
  <c r="AD190" i="28"/>
  <c r="V180" i="25" a="1"/>
  <c r="V180" i="25" s="1"/>
  <c r="U116" i="33"/>
  <c r="U63" i="37"/>
  <c r="H72" i="37"/>
  <c r="U114" i="28"/>
  <c r="H282" i="28"/>
  <c r="H77" i="37"/>
  <c r="N75" i="24"/>
  <c r="H117" i="33"/>
  <c r="H89" i="28"/>
  <c r="U142" i="27"/>
  <c r="T90" i="32"/>
  <c r="H45" i="36"/>
  <c r="H249" i="28"/>
  <c r="AE66" i="27"/>
  <c r="V197" i="24"/>
  <c r="H42" i="36"/>
  <c r="O65" i="27"/>
  <c r="N124" i="36"/>
  <c r="AD245" i="28"/>
  <c r="N77" i="32"/>
  <c r="V117" i="36"/>
  <c r="V36" i="36"/>
  <c r="N39" i="32"/>
  <c r="U89" i="36"/>
  <c r="I95" i="27"/>
  <c r="H89" i="36"/>
  <c r="V90" i="32"/>
  <c r="H122" i="36"/>
  <c r="V116" i="36"/>
  <c r="N204" i="24"/>
  <c r="H75" i="33"/>
  <c r="N102" i="33"/>
  <c r="N47" i="32"/>
  <c r="AD91" i="32"/>
  <c r="H47" i="36"/>
  <c r="H128" i="33"/>
  <c r="AD118" i="33"/>
  <c r="AD124" i="33" s="1"/>
  <c r="N74" i="25"/>
  <c r="N126" i="36"/>
  <c r="T142" i="35"/>
  <c r="H253" i="24"/>
  <c r="I168" i="27"/>
  <c r="H251" i="28"/>
  <c r="H262" i="24"/>
  <c r="V115" i="28" a="1"/>
  <c r="V115" i="28" s="1"/>
  <c r="N100" i="36"/>
  <c r="T37" i="36"/>
  <c r="T38" i="36" s="1"/>
  <c r="Y38" i="36" s="1"/>
  <c r="U42" i="36" s="1"/>
  <c r="H41" i="36"/>
  <c r="V10" i="37"/>
  <c r="N95" i="36"/>
  <c r="V62" i="28"/>
  <c r="H104" i="32"/>
  <c r="N39" i="36"/>
  <c r="D45" i="41"/>
  <c r="O124" i="27"/>
  <c r="O125" i="27"/>
  <c r="O130" i="27"/>
  <c r="O126" i="27"/>
  <c r="O127" i="27"/>
  <c r="O128" i="27"/>
  <c r="O119" i="27"/>
  <c r="O117" i="27"/>
  <c r="O115" i="27"/>
  <c r="AE117" i="27"/>
  <c r="I179" i="27"/>
  <c r="I171" i="27"/>
  <c r="I180" i="27"/>
  <c r="N160" i="25"/>
  <c r="T152" i="25"/>
  <c r="T153" i="25" s="1"/>
  <c r="Y153" i="25" s="1"/>
  <c r="U158" i="25" s="1"/>
  <c r="N155" i="25"/>
  <c r="N162" i="25"/>
  <c r="H115" i="35"/>
  <c r="H120" i="35"/>
  <c r="H124" i="35"/>
  <c r="H127" i="35"/>
  <c r="T166" i="28"/>
  <c r="T167" i="28" s="1"/>
  <c r="Y167" i="28" s="1"/>
  <c r="U172" i="28" s="1"/>
  <c r="U166" i="28"/>
  <c r="N175" i="28"/>
  <c r="N168" i="28"/>
  <c r="V167" i="28" a="1"/>
  <c r="V167" i="28" s="1"/>
  <c r="N165" i="28"/>
  <c r="AD216" i="28"/>
  <c r="H220" i="28"/>
  <c r="U217" i="28"/>
  <c r="U219" i="28" s="1"/>
  <c r="H97" i="24"/>
  <c r="H92" i="24"/>
  <c r="U87" i="24"/>
  <c r="U89" i="24" s="1"/>
  <c r="H93" i="24"/>
  <c r="AD86" i="24"/>
  <c r="H94" i="24"/>
  <c r="H100" i="28"/>
  <c r="H95" i="28"/>
  <c r="AD89" i="28"/>
  <c r="V63" i="28" a="1"/>
  <c r="V63" i="28" s="1"/>
  <c r="H156" i="35"/>
  <c r="H145" i="35"/>
  <c r="H148" i="35"/>
  <c r="O36" i="27"/>
  <c r="O37" i="27"/>
  <c r="H261" i="24"/>
  <c r="V255" i="24" a="1"/>
  <c r="V255" i="24" s="1"/>
  <c r="AD254" i="24"/>
  <c r="H265" i="24"/>
  <c r="V253" i="24"/>
  <c r="H294" i="24"/>
  <c r="H290" i="24"/>
  <c r="U282" i="24"/>
  <c r="H286" i="24"/>
  <c r="AD281" i="24"/>
  <c r="AD283" i="24"/>
  <c r="N129" i="25"/>
  <c r="AE122" i="25"/>
  <c r="N136" i="25"/>
  <c r="N126" i="25"/>
  <c r="N194" i="28"/>
  <c r="N203" i="28"/>
  <c r="AE190" i="28"/>
  <c r="N202" i="28"/>
  <c r="N192" i="28"/>
  <c r="N200" i="28"/>
  <c r="V37" i="36"/>
  <c r="N37" i="36"/>
  <c r="N47" i="36"/>
  <c r="U37" i="36"/>
  <c r="N41" i="36"/>
  <c r="N38" i="36"/>
  <c r="N66" i="24"/>
  <c r="N172" i="24"/>
  <c r="N69" i="25"/>
  <c r="N35" i="24"/>
  <c r="V90" i="36"/>
  <c r="D37" i="41"/>
  <c r="AE89" i="32"/>
  <c r="W92" i="27" a="1"/>
  <c r="W92" i="27" s="1"/>
  <c r="H146" i="35"/>
  <c r="H124" i="33"/>
  <c r="N129" i="36"/>
  <c r="H103" i="32"/>
  <c r="H48" i="36"/>
  <c r="N198" i="24"/>
  <c r="V118" i="33" a="1"/>
  <c r="V118" i="33" s="1"/>
  <c r="N42" i="33"/>
  <c r="T117" i="36"/>
  <c r="T118" i="36" s="1"/>
  <c r="H68" i="37"/>
  <c r="N40" i="33"/>
  <c r="AD62" i="28"/>
  <c r="H40" i="25"/>
  <c r="V271" i="28" a="1"/>
  <c r="V271" i="28" s="1"/>
  <c r="W271" i="28" s="1"/>
  <c r="H50" i="35"/>
  <c r="N98" i="36"/>
  <c r="N96" i="36" s="1"/>
  <c r="AD115" i="28"/>
  <c r="AD121" i="28" s="1"/>
  <c r="H53" i="25"/>
  <c r="I156" i="27"/>
  <c r="N126" i="33"/>
  <c r="H150" i="35"/>
  <c r="H44" i="25"/>
  <c r="U62" i="28"/>
  <c r="H9" i="37"/>
  <c r="N61" i="28"/>
  <c r="H46" i="25"/>
  <c r="N269" i="28"/>
  <c r="N264" i="24"/>
  <c r="N265" i="24"/>
  <c r="N258" i="24"/>
  <c r="N256" i="24"/>
  <c r="N72" i="28"/>
  <c r="N60" i="28"/>
  <c r="N67" i="28"/>
  <c r="N73" i="28"/>
  <c r="H192" i="28"/>
  <c r="H193" i="28"/>
  <c r="AD192" i="28"/>
  <c r="H205" i="28"/>
  <c r="H204" i="28"/>
  <c r="H197" i="28"/>
  <c r="N121" i="33"/>
  <c r="T117" i="33"/>
  <c r="T118" i="33" s="1"/>
  <c r="Y118" i="33" s="1"/>
  <c r="U122" i="33" s="1"/>
  <c r="AE115" i="33"/>
  <c r="N130" i="33"/>
  <c r="T165" i="28"/>
  <c r="H170" i="28"/>
  <c r="H166" i="28"/>
  <c r="AD167" i="28"/>
  <c r="AD173" i="28" s="1"/>
  <c r="H176" i="28"/>
  <c r="H174" i="28"/>
  <c r="H172" i="28" s="1"/>
  <c r="H71" i="28"/>
  <c r="O141" i="27"/>
  <c r="W144" i="27" a="1"/>
  <c r="W144" i="27" s="1"/>
  <c r="O155" i="27"/>
  <c r="O156" i="27"/>
  <c r="H153" i="33"/>
  <c r="H151" i="33"/>
  <c r="H149" i="33" s="1"/>
  <c r="H144" i="33"/>
  <c r="H46" i="28"/>
  <c r="H38" i="28"/>
  <c r="H129" i="36"/>
  <c r="H63" i="37"/>
  <c r="U69" i="25"/>
  <c r="T69" i="25"/>
  <c r="H75" i="25"/>
  <c r="H80" i="25"/>
  <c r="H77" i="25"/>
  <c r="H69" i="25"/>
  <c r="AE138" i="28"/>
  <c r="N127" i="24"/>
  <c r="V243" i="28"/>
  <c r="N235" i="24"/>
  <c r="H88" i="35"/>
  <c r="V61" i="28"/>
  <c r="AD115" i="24"/>
  <c r="H122" i="33"/>
  <c r="H115" i="33"/>
  <c r="H116" i="33"/>
  <c r="H125" i="24"/>
  <c r="H123" i="24" s="1"/>
  <c r="N179" i="25"/>
  <c r="H118" i="36"/>
  <c r="H122" i="35"/>
  <c r="U41" i="25"/>
  <c r="H100" i="24"/>
  <c r="N254" i="24"/>
  <c r="N42" i="36"/>
  <c r="V37" i="33"/>
  <c r="H97" i="36"/>
  <c r="AD38" i="36"/>
  <c r="H121" i="28"/>
  <c r="H120" i="28" s="1"/>
  <c r="V38" i="36" a="1"/>
  <c r="V38" i="36" s="1"/>
  <c r="T37" i="33"/>
  <c r="T38" i="33" s="1"/>
  <c r="Y38" i="33" s="1"/>
  <c r="H149" i="24"/>
  <c r="N99" i="32"/>
  <c r="N44" i="36"/>
  <c r="T63" i="24"/>
  <c r="T64" i="24" s="1"/>
  <c r="Y64" i="24" s="1"/>
  <c r="N127" i="28"/>
  <c r="I67" i="27"/>
  <c r="O42" i="27"/>
  <c r="H36" i="36"/>
  <c r="N115" i="36"/>
  <c r="O49" i="27"/>
  <c r="N118" i="36"/>
  <c r="H77" i="36"/>
  <c r="H37" i="36"/>
  <c r="H63" i="28"/>
  <c r="H274" i="28"/>
  <c r="V118" i="24" a="1"/>
  <c r="V118" i="24" s="1"/>
  <c r="O144" i="27"/>
  <c r="I51" i="27"/>
  <c r="AD153" i="25"/>
  <c r="W143" i="27"/>
  <c r="N99" i="25"/>
  <c r="N102" i="32"/>
  <c r="AD173" i="24"/>
  <c r="J55" i="39"/>
  <c r="H153" i="35"/>
  <c r="N70" i="25"/>
  <c r="H96" i="28"/>
  <c r="AD98" i="25"/>
  <c r="H221" i="28"/>
  <c r="H43" i="25"/>
  <c r="H165" i="28"/>
  <c r="H287" i="24"/>
  <c r="H64" i="28"/>
  <c r="U117" i="36"/>
  <c r="U118" i="36" s="1"/>
  <c r="V116" i="33"/>
  <c r="H121" i="36"/>
  <c r="U36" i="36"/>
  <c r="AD141" i="35"/>
  <c r="V71" i="25" a="1"/>
  <c r="V71" i="25" s="1"/>
  <c r="N72" i="36"/>
  <c r="N121" i="36"/>
  <c r="N272" i="28"/>
  <c r="AD37" i="33"/>
  <c r="H148" i="24"/>
  <c r="T61" i="28"/>
  <c r="N62" i="37"/>
  <c r="V64" i="37"/>
  <c r="N69" i="37"/>
  <c r="N77" i="37"/>
  <c r="N74" i="37"/>
  <c r="N73" i="37"/>
  <c r="N41" i="33"/>
  <c r="N81" i="25"/>
  <c r="AD65" i="36"/>
  <c r="AD71" i="36" s="1"/>
  <c r="H40" i="36"/>
  <c r="N93" i="33"/>
  <c r="AD64" i="37"/>
  <c r="N90" i="32"/>
  <c r="U91" i="32"/>
  <c r="N61" i="24"/>
  <c r="H119" i="36"/>
  <c r="N113" i="28"/>
  <c r="H101" i="32"/>
  <c r="U141" i="28"/>
  <c r="AE65" i="27"/>
  <c r="H155" i="35"/>
  <c r="H126" i="33"/>
  <c r="N125" i="36"/>
  <c r="U38" i="27"/>
  <c r="U39" i="27" s="1"/>
  <c r="Z39" i="27" s="1"/>
  <c r="V44" i="27" s="1"/>
  <c r="H102" i="32"/>
  <c r="AF36" i="27"/>
  <c r="H98" i="33"/>
  <c r="V38" i="27"/>
  <c r="V39" i="27" s="1"/>
  <c r="U38" i="32"/>
  <c r="H190" i="28"/>
  <c r="N66" i="28"/>
  <c r="N68" i="25"/>
  <c r="H216" i="28"/>
  <c r="H227" i="28"/>
  <c r="AD147" i="24"/>
  <c r="N46" i="36"/>
  <c r="U142" i="35"/>
  <c r="N95" i="25"/>
  <c r="N159" i="25"/>
  <c r="H102" i="36"/>
  <c r="H150" i="24"/>
  <c r="N64" i="28"/>
  <c r="N68" i="37"/>
  <c r="N19" i="37"/>
  <c r="AD38" i="33"/>
  <c r="N201" i="24"/>
  <c r="AE225" i="24"/>
  <c r="U179" i="25"/>
  <c r="U180" i="25" s="1"/>
  <c r="N122" i="36"/>
  <c r="N50" i="33"/>
  <c r="V65" i="32"/>
  <c r="N49" i="33"/>
  <c r="H89" i="33"/>
  <c r="H91" i="32"/>
  <c r="N14" i="37"/>
  <c r="H129" i="35"/>
  <c r="H89" i="32"/>
  <c r="H270" i="28"/>
  <c r="AD65" i="32"/>
  <c r="N82" i="25"/>
  <c r="H219" i="28"/>
  <c r="H229" i="28"/>
  <c r="N101" i="25"/>
  <c r="N89" i="36"/>
  <c r="N21" i="37"/>
  <c r="U227" i="24"/>
  <c r="V41" i="25"/>
  <c r="H202" i="28"/>
  <c r="N45" i="36"/>
  <c r="N44" i="24"/>
  <c r="N67" i="37"/>
  <c r="O121" i="27"/>
  <c r="H41" i="25"/>
  <c r="H160" i="25"/>
  <c r="N190" i="25"/>
  <c r="H73" i="37"/>
  <c r="I37" i="27"/>
  <c r="AD140" i="28"/>
  <c r="N117" i="36"/>
  <c r="V91" i="33" a="1"/>
  <c r="V91" i="33" s="1"/>
  <c r="P54" i="39"/>
  <c r="H74" i="37"/>
  <c r="T179" i="25"/>
  <c r="T180" i="25" s="1"/>
  <c r="Y180" i="25" s="1"/>
  <c r="U185" i="25" s="1"/>
  <c r="N66" i="33"/>
  <c r="N157" i="25"/>
  <c r="N74" i="28"/>
  <c r="AD65" i="37"/>
  <c r="AD197" i="24"/>
  <c r="H48" i="35"/>
  <c r="N130" i="36"/>
  <c r="I63" i="27"/>
  <c r="AN26" i="27" s="1"/>
  <c r="V65" i="37" a="1"/>
  <c r="V65" i="37" s="1"/>
  <c r="H71" i="37"/>
  <c r="AD38" i="32"/>
  <c r="N40" i="32"/>
  <c r="T116" i="33"/>
  <c r="H47" i="35"/>
  <c r="N126" i="28"/>
  <c r="N83" i="25"/>
  <c r="O45" i="27"/>
  <c r="H42" i="35"/>
  <c r="N76" i="24"/>
  <c r="H116" i="36"/>
  <c r="N112" i="28"/>
  <c r="N205" i="24"/>
  <c r="V193" i="28" a="1"/>
  <c r="V193" i="28" s="1"/>
  <c r="U63" i="24"/>
  <c r="H257" i="24"/>
  <c r="V12" i="37" a="1"/>
  <c r="V12" i="37" s="1"/>
  <c r="W12" i="37" s="1"/>
  <c r="N121" i="28"/>
  <c r="N120" i="28" s="1"/>
  <c r="V198" i="24" a="1"/>
  <c r="V198" i="24" s="1"/>
  <c r="I89" i="27"/>
  <c r="AN27" i="27" s="1"/>
  <c r="H253" i="28"/>
  <c r="N38" i="33"/>
  <c r="V174" i="24" a="1"/>
  <c r="V174" i="24" s="1"/>
  <c r="N63" i="28"/>
  <c r="I177" i="27"/>
  <c r="N9" i="37"/>
  <c r="H154" i="35"/>
  <c r="V92" i="32" a="1"/>
  <c r="V92" i="32" s="1"/>
  <c r="T89" i="33"/>
  <c r="U64" i="36"/>
  <c r="AD39" i="32"/>
  <c r="AD45" i="32" s="1"/>
  <c r="H96" i="32"/>
  <c r="AD37" i="36"/>
  <c r="H118" i="24"/>
  <c r="N77" i="25"/>
  <c r="N181" i="25"/>
  <c r="H222" i="28"/>
  <c r="H217" i="28"/>
  <c r="H281" i="24"/>
  <c r="V254" i="24"/>
  <c r="N103" i="36"/>
  <c r="N38" i="24"/>
  <c r="H91" i="24"/>
  <c r="N117" i="33"/>
  <c r="N177" i="24"/>
  <c r="N63" i="37"/>
  <c r="N231" i="28"/>
  <c r="H52" i="25"/>
  <c r="T192" i="28"/>
  <c r="T193" i="28" s="1"/>
  <c r="Y193" i="28" s="1"/>
  <c r="H191" i="28"/>
  <c r="AE252" i="24"/>
  <c r="D38" i="41"/>
  <c r="N208" i="24"/>
  <c r="O129" i="27"/>
  <c r="N90" i="36"/>
  <c r="AE92" i="27"/>
  <c r="AE98" i="27" s="1"/>
  <c r="H92" i="32"/>
  <c r="N132" i="25"/>
  <c r="N130" i="25" s="1"/>
  <c r="N134" i="25"/>
  <c r="N71" i="37"/>
  <c r="N231" i="24"/>
  <c r="N75" i="32"/>
  <c r="V166" i="28"/>
  <c r="N124" i="33"/>
  <c r="N128" i="25"/>
  <c r="D42" i="41"/>
  <c r="H127" i="36"/>
  <c r="H126" i="36"/>
  <c r="H125" i="36"/>
  <c r="H117" i="36"/>
  <c r="H115" i="36"/>
  <c r="AD115" i="36"/>
  <c r="T116" i="36"/>
  <c r="U97" i="25"/>
  <c r="N110" i="25"/>
  <c r="H74" i="33"/>
  <c r="H71" i="33"/>
  <c r="U63" i="33"/>
  <c r="Z65" i="33" s="1"/>
  <c r="H64" i="33"/>
  <c r="AD62" i="33"/>
  <c r="T114" i="28"/>
  <c r="T115" i="28" s="1"/>
  <c r="Y115" i="28" s="1"/>
  <c r="U119" i="28" s="1"/>
  <c r="N119" i="28"/>
  <c r="N114" i="28"/>
  <c r="N116" i="28"/>
  <c r="N117" i="28"/>
  <c r="V114" i="28"/>
  <c r="N89" i="28"/>
  <c r="N93" i="28"/>
  <c r="N98" i="28"/>
  <c r="N92" i="28"/>
  <c r="N97" i="28"/>
  <c r="N86" i="28"/>
  <c r="N95" i="28"/>
  <c r="N91" i="28"/>
  <c r="N222" i="28"/>
  <c r="AE216" i="28"/>
  <c r="N216" i="28"/>
  <c r="N221" i="28"/>
  <c r="N227" i="28"/>
  <c r="V283" i="24"/>
  <c r="N284" i="24"/>
  <c r="N244" i="28"/>
  <c r="T244" i="28"/>
  <c r="T245" i="28" s="1"/>
  <c r="Y245" i="28" s="1"/>
  <c r="U250" i="28" s="1"/>
  <c r="T62" i="28"/>
  <c r="T63" i="28" s="1"/>
  <c r="Y63" i="28" s="1"/>
  <c r="U67" i="28" s="1"/>
  <c r="N207" i="24"/>
  <c r="AD114" i="28"/>
  <c r="N72" i="25"/>
  <c r="H252" i="24"/>
  <c r="AE60" i="28"/>
  <c r="N206" i="24"/>
  <c r="H76" i="37"/>
  <c r="AD115" i="33"/>
  <c r="N116" i="36"/>
  <c r="H226" i="28"/>
  <c r="V118" i="36" a="1"/>
  <c r="V118" i="36" s="1"/>
  <c r="W118" i="36" s="1"/>
  <c r="H86" i="28"/>
  <c r="N67" i="32"/>
  <c r="N45" i="33"/>
  <c r="N227" i="24"/>
  <c r="N49" i="36"/>
  <c r="V192" i="28"/>
  <c r="N93" i="36"/>
  <c r="D55" i="39"/>
  <c r="N76" i="37"/>
  <c r="H42" i="25"/>
  <c r="H124" i="28"/>
  <c r="N127" i="25"/>
  <c r="G43" i="41"/>
  <c r="T143" i="35"/>
  <c r="T144" i="35" s="1"/>
  <c r="Y144" i="35" s="1"/>
  <c r="U149" i="35" s="1"/>
  <c r="H49" i="24"/>
  <c r="N218" i="28"/>
  <c r="N90" i="33"/>
  <c r="H21" i="37"/>
  <c r="H46" i="36"/>
  <c r="AD244" i="28"/>
  <c r="H46" i="35"/>
  <c r="H13" i="37"/>
  <c r="I98" i="27"/>
  <c r="AD12" i="37"/>
  <c r="AD18" i="37" s="1"/>
  <c r="AD118" i="36"/>
  <c r="AD124" i="36" s="1"/>
  <c r="V70" i="25"/>
  <c r="I64" i="27"/>
  <c r="H127" i="33"/>
  <c r="N36" i="36"/>
  <c r="O116" i="27"/>
  <c r="H258" i="24"/>
  <c r="T243" i="28"/>
  <c r="H49" i="35"/>
  <c r="N70" i="28"/>
  <c r="H142" i="35"/>
  <c r="U61" i="28"/>
  <c r="N75" i="28"/>
  <c r="I96" i="27"/>
  <c r="N146" i="35"/>
  <c r="AD40" i="25"/>
  <c r="H153" i="25"/>
  <c r="H244" i="28"/>
  <c r="H128" i="24"/>
  <c r="H36" i="35"/>
  <c r="N80" i="25"/>
  <c r="H115" i="28"/>
  <c r="T70" i="25"/>
  <c r="T71" i="25" s="1"/>
  <c r="Y71" i="25" s="1"/>
  <c r="N73" i="36"/>
  <c r="N188" i="25"/>
  <c r="H156" i="25"/>
  <c r="H252" i="28"/>
  <c r="V217" i="28"/>
  <c r="N79" i="25"/>
  <c r="O145" i="27"/>
  <c r="AD284" i="24"/>
  <c r="AD290" i="24" s="1"/>
  <c r="U64" i="27"/>
  <c r="H153" i="24"/>
  <c r="N42" i="24"/>
  <c r="N205" i="28"/>
  <c r="O122" i="27"/>
  <c r="U165" i="28"/>
  <c r="V91" i="36" a="1"/>
  <c r="V91" i="36" s="1"/>
  <c r="W64" i="27"/>
  <c r="T64" i="37"/>
  <c r="T65" i="37" s="1"/>
  <c r="Y65" i="37" s="1"/>
  <c r="U70" i="37" s="1"/>
  <c r="N44" i="33"/>
  <c r="N263" i="24"/>
  <c r="N232" i="24"/>
  <c r="N96" i="32"/>
  <c r="N119" i="36"/>
  <c r="N93" i="32"/>
  <c r="H264" i="24"/>
  <c r="N89" i="32"/>
  <c r="N98" i="32"/>
  <c r="H130" i="33"/>
  <c r="H266" i="24"/>
  <c r="T197" i="24"/>
  <c r="T198" i="24" s="1"/>
  <c r="Y198" i="24" s="1"/>
  <c r="U202" i="24" s="1"/>
  <c r="N37" i="24"/>
  <c r="U253" i="24"/>
  <c r="AD70" i="25"/>
  <c r="H257" i="28"/>
  <c r="H41" i="35"/>
  <c r="N103" i="32"/>
  <c r="H65" i="37"/>
  <c r="H40" i="35"/>
  <c r="I103" i="27"/>
  <c r="I174" i="27"/>
  <c r="V64" i="27"/>
  <c r="N210" i="24"/>
  <c r="N92" i="33"/>
  <c r="H126" i="35"/>
  <c r="N69" i="36"/>
  <c r="N177" i="25"/>
  <c r="H228" i="28"/>
  <c r="N99" i="33"/>
  <c r="V64" i="36"/>
  <c r="W117" i="27"/>
  <c r="H167" i="28"/>
  <c r="H98" i="24"/>
  <c r="H103" i="24"/>
  <c r="U37" i="24"/>
  <c r="N11" i="37"/>
  <c r="H288" i="24"/>
  <c r="V117" i="27"/>
  <c r="N65" i="37"/>
  <c r="AD252" i="24"/>
  <c r="I143" i="27"/>
  <c r="I99" i="27"/>
  <c r="N39" i="33"/>
  <c r="H93" i="28"/>
  <c r="N41" i="24"/>
  <c r="N143" i="28"/>
  <c r="N44" i="37"/>
  <c r="U70" i="25"/>
  <c r="V38" i="37" a="1"/>
  <c r="V38" i="37" s="1"/>
  <c r="H163" i="25"/>
  <c r="N100" i="28"/>
  <c r="H112" i="28"/>
  <c r="N119" i="33"/>
  <c r="N74" i="33"/>
  <c r="I178" i="27"/>
  <c r="N156" i="33"/>
  <c r="N46" i="37"/>
  <c r="O95" i="27"/>
  <c r="H72" i="32"/>
  <c r="H71" i="32" s="1"/>
  <c r="H63" i="32"/>
  <c r="H62" i="24"/>
  <c r="H64" i="24"/>
  <c r="N127" i="33"/>
  <c r="N225" i="24"/>
  <c r="N238" i="24"/>
  <c r="T10" i="37"/>
  <c r="H281" i="28"/>
  <c r="W142" i="27"/>
  <c r="AD35" i="36"/>
  <c r="V37" i="32"/>
  <c r="N48" i="24"/>
  <c r="D48" i="41"/>
  <c r="AE35" i="37"/>
  <c r="I100" i="27"/>
  <c r="N140" i="28"/>
  <c r="AE39" i="27"/>
  <c r="AE88" i="33"/>
  <c r="V38" i="33" a="1"/>
  <c r="V38" i="33" s="1"/>
  <c r="N71" i="36"/>
  <c r="N99" i="36"/>
  <c r="H35" i="33"/>
  <c r="H152" i="28"/>
  <c r="N153" i="33"/>
  <c r="N240" i="24"/>
  <c r="I170" i="27"/>
  <c r="V42" i="25"/>
  <c r="H75" i="37"/>
  <c r="G34" i="41"/>
  <c r="AD228" i="24"/>
  <c r="AD234" i="24" s="1"/>
  <c r="O104" i="27"/>
  <c r="N280" i="28"/>
  <c r="H68" i="32"/>
  <c r="N91" i="33"/>
  <c r="N67" i="36"/>
  <c r="N128" i="36"/>
  <c r="I115" i="27"/>
  <c r="AN28" i="27" s="1"/>
  <c r="T64" i="36"/>
  <c r="T65" i="36" s="1"/>
  <c r="Y65" i="36" s="1"/>
  <c r="U69" i="36" s="1"/>
  <c r="H156" i="33"/>
  <c r="AE118" i="27"/>
  <c r="AD35" i="33"/>
  <c r="N78" i="25"/>
  <c r="N102" i="36"/>
  <c r="H235" i="24"/>
  <c r="U117" i="33"/>
  <c r="N228" i="24"/>
  <c r="V117" i="33"/>
  <c r="T226" i="24"/>
  <c r="G35" i="41"/>
  <c r="N72" i="24"/>
  <c r="U269" i="28"/>
  <c r="U271" i="28" s="1"/>
  <c r="H67" i="35"/>
  <c r="I36" i="27"/>
  <c r="AD12" i="39"/>
  <c r="AD18" i="39" s="1"/>
  <c r="AD64" i="36"/>
  <c r="O67" i="27"/>
  <c r="H37" i="24"/>
  <c r="H100" i="35"/>
  <c r="N37" i="32"/>
  <c r="H115" i="24"/>
  <c r="T91" i="32"/>
  <c r="T92" i="32" s="1"/>
  <c r="Y92" i="32" s="1"/>
  <c r="U96" i="32" s="1"/>
  <c r="V173" i="24"/>
  <c r="AD144" i="33"/>
  <c r="AD150" i="33" s="1"/>
  <c r="V245" i="28" a="1"/>
  <c r="V245" i="28" s="1"/>
  <c r="N164" i="25"/>
  <c r="O94" i="27"/>
  <c r="O152" i="27"/>
  <c r="I73" i="27"/>
  <c r="AE281" i="24"/>
  <c r="V89" i="33"/>
  <c r="O40" i="27"/>
  <c r="H90" i="36"/>
  <c r="I150" i="27"/>
  <c r="H136" i="25"/>
  <c r="AE177" i="25"/>
  <c r="H242" i="28"/>
  <c r="H141" i="33"/>
  <c r="N65" i="32"/>
  <c r="U145" i="24"/>
  <c r="U147" i="24" s="1"/>
  <c r="U11" i="37"/>
  <c r="H144" i="35"/>
  <c r="H78" i="25"/>
  <c r="N109" i="25"/>
  <c r="AD92" i="32"/>
  <c r="AD98" i="32" s="1"/>
  <c r="I121" i="27"/>
  <c r="U35" i="28"/>
  <c r="H171" i="28"/>
  <c r="H282" i="24"/>
  <c r="G33" i="41"/>
  <c r="N130" i="24"/>
  <c r="H102" i="33"/>
  <c r="N46" i="25"/>
  <c r="I72" i="27"/>
  <c r="AD144" i="35"/>
  <c r="N95" i="33"/>
  <c r="V43" i="25" a="1"/>
  <c r="V43" i="25" s="1"/>
  <c r="W43" i="25" s="1"/>
  <c r="N40" i="28"/>
  <c r="N239" i="24"/>
  <c r="V37" i="24"/>
  <c r="N143" i="33"/>
  <c r="T37" i="37"/>
  <c r="T38" i="37" s="1"/>
  <c r="Y38" i="37" s="1"/>
  <c r="U42" i="37" s="1"/>
  <c r="H46" i="32"/>
  <c r="H44" i="32" s="1"/>
  <c r="H72" i="28"/>
  <c r="W90" i="27"/>
  <c r="AE35" i="24"/>
  <c r="G38" i="41"/>
  <c r="N120" i="33"/>
  <c r="H38" i="33"/>
  <c r="N157" i="24"/>
  <c r="N101" i="36"/>
  <c r="I173" i="27"/>
  <c r="N125" i="33"/>
  <c r="H46" i="33"/>
  <c r="I119" i="27"/>
  <c r="N88" i="33"/>
  <c r="H40" i="33"/>
  <c r="N91" i="36"/>
  <c r="H45" i="33"/>
  <c r="N120" i="36"/>
  <c r="H147" i="35"/>
  <c r="N151" i="28"/>
  <c r="T90" i="36"/>
  <c r="T91" i="36" s="1"/>
  <c r="Y91" i="36" s="1"/>
  <c r="U95" i="36" s="1"/>
  <c r="U90" i="33"/>
  <c r="U91" i="33" s="1"/>
  <c r="N50" i="24"/>
  <c r="N45" i="24"/>
  <c r="N273" i="28"/>
  <c r="N40" i="25"/>
  <c r="N76" i="33"/>
  <c r="H171" i="24"/>
  <c r="N123" i="25"/>
  <c r="H125" i="25"/>
  <c r="H98" i="28"/>
  <c r="H45" i="35"/>
  <c r="H43" i="35" s="1"/>
  <c r="N91" i="32"/>
  <c r="T87" i="24"/>
  <c r="H49" i="28"/>
  <c r="G48" i="41"/>
  <c r="H89" i="24"/>
  <c r="T36" i="36"/>
  <c r="H50" i="33"/>
  <c r="N182" i="24"/>
  <c r="N45" i="28"/>
  <c r="N275" i="28"/>
  <c r="N48" i="28"/>
  <c r="U226" i="24"/>
  <c r="T37" i="24"/>
  <c r="T38" i="24" s="1"/>
  <c r="Y38" i="24" s="1"/>
  <c r="U43" i="24" s="1"/>
  <c r="N279" i="28"/>
  <c r="N75" i="33"/>
  <c r="N39" i="24"/>
  <c r="H39" i="32"/>
  <c r="N186" i="24"/>
  <c r="N98" i="33"/>
  <c r="T151" i="25"/>
  <c r="N141" i="28"/>
  <c r="AD138" i="28"/>
  <c r="N23" i="37"/>
  <c r="N115" i="33"/>
  <c r="V226" i="24"/>
  <c r="U36" i="28"/>
  <c r="N147" i="24"/>
  <c r="N101" i="33"/>
  <c r="V147" i="24" a="1"/>
  <c r="V147" i="24" s="1"/>
  <c r="W147" i="24" s="1"/>
  <c r="V218" i="28"/>
  <c r="H36" i="33"/>
  <c r="T64" i="32"/>
  <c r="AD35" i="37"/>
  <c r="U143" i="35"/>
  <c r="V228" i="24" a="1"/>
  <c r="V228" i="24" s="1"/>
  <c r="U124" i="25"/>
  <c r="V124" i="25"/>
  <c r="N192" i="25"/>
  <c r="H175" i="28"/>
  <c r="N43" i="25"/>
  <c r="H99" i="28"/>
  <c r="U37" i="37"/>
  <c r="AE34" i="28"/>
  <c r="AD86" i="28"/>
  <c r="H159" i="25"/>
  <c r="AD89" i="24"/>
  <c r="H42" i="24"/>
  <c r="H73" i="36"/>
  <c r="H275" i="28"/>
  <c r="O46" i="27"/>
  <c r="I68" i="27"/>
  <c r="N152" i="25"/>
  <c r="I40" i="27"/>
  <c r="N50" i="32"/>
  <c r="H126" i="24"/>
  <c r="N291" i="24"/>
  <c r="AE91" i="27"/>
  <c r="H98" i="35"/>
  <c r="N290" i="24"/>
  <c r="N180" i="25"/>
  <c r="AD88" i="33"/>
  <c r="H95" i="33"/>
  <c r="O38" i="27"/>
  <c r="N40" i="36"/>
  <c r="N183" i="24"/>
  <c r="AF141" i="27"/>
  <c r="D35" i="41"/>
  <c r="H23" i="39"/>
  <c r="V36" i="24"/>
  <c r="H75" i="35"/>
  <c r="H99" i="35"/>
  <c r="H269" i="28"/>
  <c r="O39" i="27"/>
  <c r="O43" i="27"/>
  <c r="W66" i="27" a="1"/>
  <c r="W66" i="27" s="1"/>
  <c r="X66" i="27" s="1"/>
  <c r="N247" i="28"/>
  <c r="N243" i="28"/>
  <c r="H116" i="24"/>
  <c r="O92" i="27"/>
  <c r="N45" i="32"/>
  <c r="N44" i="32" s="1"/>
  <c r="W118" i="27" a="1"/>
  <c r="W118" i="27" s="1"/>
  <c r="X118" i="27" s="1"/>
  <c r="H62" i="35"/>
  <c r="H169" i="28"/>
  <c r="U152" i="25"/>
  <c r="Z153" i="25" s="1"/>
  <c r="H91" i="35"/>
  <c r="H243" i="28"/>
  <c r="V152" i="25"/>
  <c r="AD91" i="36"/>
  <c r="H101" i="35"/>
  <c r="H97" i="33"/>
  <c r="H96" i="33" s="1"/>
  <c r="V90" i="27"/>
  <c r="I104" i="27"/>
  <c r="H151" i="24"/>
  <c r="H35" i="28"/>
  <c r="N66" i="37"/>
  <c r="AD65" i="33"/>
  <c r="H82" i="25"/>
  <c r="N75" i="37"/>
  <c r="N154" i="25"/>
  <c r="H76" i="36"/>
  <c r="H91" i="36"/>
  <c r="N100" i="32"/>
  <c r="H254" i="28"/>
  <c r="H54" i="25"/>
  <c r="AD268" i="28"/>
  <c r="AE62" i="37"/>
  <c r="N96" i="28"/>
  <c r="I130" i="27"/>
  <c r="H46" i="37"/>
  <c r="H69" i="28"/>
  <c r="T62" i="24"/>
  <c r="H44" i="36"/>
  <c r="AE164" i="28"/>
  <c r="H144" i="24"/>
  <c r="H39" i="35"/>
  <c r="O48" i="27"/>
  <c r="N174" i="28"/>
  <c r="N172" i="28" s="1"/>
  <c r="N124" i="25"/>
  <c r="N99" i="28"/>
  <c r="H240" i="24"/>
  <c r="AD9" i="37"/>
  <c r="H146" i="24"/>
  <c r="H91" i="33"/>
  <c r="AE89" i="27"/>
  <c r="H164" i="28"/>
  <c r="N47" i="24"/>
  <c r="N267" i="24"/>
  <c r="N204" i="28"/>
  <c r="H12" i="37"/>
  <c r="N175" i="24"/>
  <c r="G36" i="41"/>
  <c r="N48" i="32"/>
  <c r="V269" i="28"/>
  <c r="N94" i="32"/>
  <c r="H130" i="24"/>
  <c r="AE143" i="27"/>
  <c r="H66" i="35"/>
  <c r="AD174" i="24"/>
  <c r="AD180" i="24" s="1"/>
  <c r="AE144" i="27"/>
  <c r="H285" i="24"/>
  <c r="N170" i="28"/>
  <c r="H41" i="28"/>
  <c r="H158" i="24"/>
  <c r="H40" i="28"/>
  <c r="D36" i="41"/>
  <c r="G37" i="41"/>
  <c r="H273" i="28"/>
  <c r="H117" i="24"/>
  <c r="O66" i="27"/>
  <c r="H89" i="35"/>
  <c r="I151" i="27"/>
  <c r="H48" i="24"/>
  <c r="H127" i="24"/>
  <c r="O148" i="27"/>
  <c r="AE141" i="27"/>
  <c r="I141" i="27"/>
  <c r="H35" i="24"/>
  <c r="H147" i="33"/>
  <c r="H296" i="24"/>
  <c r="N163" i="25"/>
  <c r="AD164" i="28"/>
  <c r="N68" i="24"/>
  <c r="H73" i="35"/>
  <c r="N252" i="28"/>
  <c r="N250" i="28" s="1"/>
  <c r="H277" i="28"/>
  <c r="H10" i="37"/>
  <c r="H94" i="35"/>
  <c r="O50" i="27"/>
  <c r="H134" i="25"/>
  <c r="N182" i="25"/>
  <c r="U173" i="24"/>
  <c r="U174" i="24" s="1"/>
  <c r="N189" i="25"/>
  <c r="H129" i="25"/>
  <c r="H90" i="33"/>
  <c r="D39" i="41"/>
  <c r="O76" i="27"/>
  <c r="H15" i="37"/>
  <c r="AD35" i="24"/>
  <c r="N16" i="37"/>
  <c r="AE38" i="27"/>
  <c r="H152" i="35"/>
  <c r="I118" i="27"/>
  <c r="H66" i="36"/>
  <c r="W91" i="27"/>
  <c r="O89" i="27"/>
  <c r="AD144" i="24"/>
  <c r="N176" i="24"/>
  <c r="I176" i="27"/>
  <c r="H124" i="25"/>
  <c r="I91" i="27"/>
  <c r="H147" i="24"/>
  <c r="H150" i="28"/>
  <c r="H11" i="37"/>
  <c r="I182" i="27"/>
  <c r="N266" i="24"/>
  <c r="T35" i="28"/>
  <c r="H122" i="25"/>
  <c r="D40" i="41"/>
  <c r="G42" i="41"/>
  <c r="O74" i="27"/>
  <c r="H72" i="36"/>
  <c r="H272" i="28"/>
  <c r="N43" i="32"/>
  <c r="N180" i="24"/>
  <c r="I74" i="27"/>
  <c r="I78" i="27"/>
  <c r="I76" i="27"/>
  <c r="H95" i="36"/>
  <c r="O77" i="27"/>
  <c r="H154" i="33"/>
  <c r="N38" i="32"/>
  <c r="H98" i="36"/>
  <c r="H278" i="28"/>
  <c r="I65" i="27"/>
  <c r="I38" i="27"/>
  <c r="V142" i="27"/>
  <c r="H37" i="28"/>
  <c r="H123" i="25"/>
  <c r="H156" i="24"/>
  <c r="H135" i="25"/>
  <c r="N197" i="28"/>
  <c r="H61" i="24"/>
  <c r="H155" i="24"/>
  <c r="H178" i="28"/>
  <c r="H45" i="24"/>
  <c r="H43" i="24" s="1"/>
  <c r="AD37" i="24"/>
  <c r="H234" i="24"/>
  <c r="H36" i="24"/>
  <c r="I102" i="27"/>
  <c r="N71" i="33"/>
  <c r="N70" i="33" s="1"/>
  <c r="D43" i="41"/>
  <c r="G44" i="41"/>
  <c r="U249" i="28"/>
  <c r="H12" i="39"/>
  <c r="V10" i="39"/>
  <c r="N64" i="24"/>
  <c r="H283" i="28"/>
  <c r="O64" i="27"/>
  <c r="H69" i="36"/>
  <c r="V65" i="27"/>
  <c r="AD152" i="25"/>
  <c r="O75" i="27"/>
  <c r="O47" i="27"/>
  <c r="I70" i="27"/>
  <c r="N288" i="24"/>
  <c r="AD270" i="28"/>
  <c r="H102" i="35"/>
  <c r="T63" i="36"/>
  <c r="N150" i="25"/>
  <c r="N173" i="24"/>
  <c r="I152" i="27"/>
  <c r="AD146" i="24"/>
  <c r="U116" i="24"/>
  <c r="U118" i="24" s="1"/>
  <c r="V63" i="36"/>
  <c r="H68" i="25"/>
  <c r="H268" i="28"/>
  <c r="N184" i="24"/>
  <c r="H118" i="35"/>
  <c r="I145" i="27"/>
  <c r="H154" i="24"/>
  <c r="H95" i="35"/>
  <c r="I146" i="27"/>
  <c r="V123" i="25"/>
  <c r="H128" i="25"/>
  <c r="H227" i="24"/>
  <c r="N178" i="25"/>
  <c r="N277" i="28"/>
  <c r="N276" i="28" s="1"/>
  <c r="H120" i="36"/>
  <c r="N283" i="28"/>
  <c r="N199" i="28"/>
  <c r="N125" i="25"/>
  <c r="H41" i="24"/>
  <c r="N178" i="24"/>
  <c r="H151" i="28"/>
  <c r="H203" i="28"/>
  <c r="D44" i="41"/>
  <c r="G45" i="41"/>
  <c r="I43" i="27"/>
  <c r="H75" i="36"/>
  <c r="N41" i="32"/>
  <c r="V39" i="32" a="1"/>
  <c r="V39" i="32" s="1"/>
  <c r="AD38" i="24"/>
  <c r="H14" i="37"/>
  <c r="O51" i="27"/>
  <c r="D33" i="41"/>
  <c r="H90" i="35"/>
  <c r="H279" i="28"/>
  <c r="H146" i="33"/>
  <c r="I49" i="27"/>
  <c r="AD62" i="36"/>
  <c r="V142" i="35"/>
  <c r="U64" i="37"/>
  <c r="N65" i="36"/>
  <c r="H74" i="36"/>
  <c r="N64" i="37"/>
  <c r="N98" i="25"/>
  <c r="N101" i="32"/>
  <c r="U243" i="28"/>
  <c r="H73" i="25"/>
  <c r="N191" i="28"/>
  <c r="N255" i="24"/>
  <c r="N259" i="24"/>
  <c r="N151" i="25"/>
  <c r="N190" i="28"/>
  <c r="H61" i="28"/>
  <c r="H24" i="37"/>
  <c r="H130" i="36"/>
  <c r="I142" i="27"/>
  <c r="N181" i="24"/>
  <c r="N118" i="33"/>
  <c r="N135" i="25"/>
  <c r="H20" i="37"/>
  <c r="V64" i="24" a="1"/>
  <c r="V64" i="24" s="1"/>
  <c r="H284" i="24"/>
  <c r="N164" i="28"/>
  <c r="N183" i="25"/>
  <c r="T173" i="24"/>
  <c r="T174" i="24" s="1"/>
  <c r="Y174" i="24" s="1"/>
  <c r="U179" i="24" s="1"/>
  <c r="H75" i="24"/>
  <c r="N179" i="28"/>
  <c r="D46" i="41"/>
  <c r="G47" i="41"/>
  <c r="AE61" i="24"/>
  <c r="AD64" i="24"/>
  <c r="W39" i="27" a="1"/>
  <c r="W39" i="27" s="1"/>
  <c r="AD271" i="28"/>
  <c r="H38" i="24"/>
  <c r="V142" i="33"/>
  <c r="H97" i="35"/>
  <c r="H143" i="33"/>
  <c r="T36" i="24"/>
  <c r="H92" i="36"/>
  <c r="H93" i="36"/>
  <c r="AD117" i="24"/>
  <c r="AD88" i="36"/>
  <c r="U37" i="27"/>
  <c r="H68" i="36"/>
  <c r="T38" i="32"/>
  <c r="T39" i="32" s="1"/>
  <c r="Y39" i="32" s="1"/>
  <c r="U44" i="32" s="1"/>
  <c r="T116" i="24"/>
  <c r="U10" i="37"/>
  <c r="H16" i="37"/>
  <c r="I167" i="27"/>
  <c r="N166" i="28"/>
  <c r="H178" i="24"/>
  <c r="I169" i="27"/>
  <c r="N122" i="33"/>
  <c r="N69" i="33"/>
  <c r="N116" i="33"/>
  <c r="N169" i="28"/>
  <c r="H232" i="24"/>
  <c r="D47" i="41"/>
  <c r="O69" i="27"/>
  <c r="H64" i="35"/>
  <c r="N73" i="24"/>
  <c r="H65" i="36"/>
  <c r="H88" i="36"/>
  <c r="N63" i="24"/>
  <c r="H47" i="24"/>
  <c r="H142" i="33"/>
  <c r="W37" i="27"/>
  <c r="I41" i="27"/>
  <c r="H119" i="24"/>
  <c r="H66" i="33"/>
  <c r="V90" i="33"/>
  <c r="H194" i="28"/>
  <c r="T254" i="24"/>
  <c r="T255" i="24" s="1"/>
  <c r="Y255" i="24" s="1"/>
  <c r="U259" i="24" s="1"/>
  <c r="H69" i="33"/>
  <c r="H100" i="36"/>
  <c r="N174" i="24"/>
  <c r="H23" i="37"/>
  <c r="H131" i="25"/>
  <c r="H130" i="25" s="1"/>
  <c r="H201" i="28"/>
  <c r="H68" i="24"/>
  <c r="N65" i="33"/>
  <c r="N156" i="25"/>
  <c r="N67" i="24"/>
  <c r="H103" i="35"/>
  <c r="H10" i="39"/>
  <c r="H40" i="24"/>
  <c r="V65" i="36" a="1"/>
  <c r="V65" i="36" s="1"/>
  <c r="H67" i="36"/>
  <c r="N71" i="24"/>
  <c r="N69" i="24" s="1"/>
  <c r="T145" i="24"/>
  <c r="I66" i="27"/>
  <c r="H71" i="36"/>
  <c r="H72" i="33"/>
  <c r="U63" i="36"/>
  <c r="N72" i="37"/>
  <c r="N257" i="24"/>
  <c r="H90" i="24"/>
  <c r="U113" i="28"/>
  <c r="N191" i="25"/>
  <c r="H199" i="28"/>
  <c r="H198" i="28" s="1"/>
  <c r="H101" i="36"/>
  <c r="H69" i="24"/>
  <c r="U152" i="24"/>
  <c r="U91" i="36"/>
  <c r="V97" i="27"/>
  <c r="U43" i="36"/>
  <c r="N149" i="33"/>
  <c r="W65" i="33"/>
  <c r="H123" i="35"/>
  <c r="X92" i="27"/>
  <c r="U63" i="28"/>
  <c r="W284" i="24"/>
  <c r="N71" i="32"/>
  <c r="Z89" i="28"/>
  <c r="H146" i="28"/>
  <c r="Z66" i="32"/>
  <c r="N146" i="28"/>
  <c r="V149" i="27"/>
  <c r="Z141" i="28"/>
  <c r="V123" i="27"/>
  <c r="N152" i="24"/>
  <c r="U38" i="33"/>
  <c r="U69" i="33"/>
  <c r="O97" i="27"/>
  <c r="H43" i="37"/>
  <c r="AD95" i="28"/>
  <c r="H48" i="25"/>
  <c r="U120" i="28"/>
  <c r="O149" i="27"/>
  <c r="U48" i="25"/>
  <c r="U149" i="33"/>
  <c r="U148" i="33"/>
  <c r="W125" i="25"/>
  <c r="W66" i="32"/>
  <c r="X66" i="32" s="1"/>
  <c r="AA66" i="32" s="1"/>
  <c r="H70" i="35"/>
  <c r="V70" i="27"/>
  <c r="V71" i="27"/>
  <c r="W89" i="28"/>
  <c r="U42" i="33"/>
  <c r="U43" i="33"/>
  <c r="U70" i="32"/>
  <c r="U71" i="32"/>
  <c r="N260" i="24"/>
  <c r="U198" i="24"/>
  <c r="AD261" i="24"/>
  <c r="U122" i="24"/>
  <c r="U123" i="24"/>
  <c r="U145" i="28"/>
  <c r="U146" i="28"/>
  <c r="U224" i="28"/>
  <c r="O71" i="27"/>
  <c r="AD71" i="37"/>
  <c r="U94" i="28"/>
  <c r="U93" i="28"/>
  <c r="W98" i="25"/>
  <c r="W219" i="28"/>
  <c r="U103" i="25"/>
  <c r="U102" i="25"/>
  <c r="W118" i="24"/>
  <c r="AD186" i="25"/>
  <c r="U289" i="24"/>
  <c r="U288" i="24"/>
  <c r="U17" i="37"/>
  <c r="U16" i="37"/>
  <c r="U129" i="25"/>
  <c r="U130" i="25"/>
  <c r="AD124" i="24"/>
  <c r="N103" i="25"/>
  <c r="W141" i="28"/>
  <c r="N123" i="24"/>
  <c r="U275" i="28"/>
  <c r="U276" i="28"/>
  <c r="Z284" i="24"/>
  <c r="AD69" i="28"/>
  <c r="Y118" i="36"/>
  <c r="H203" i="24"/>
  <c r="U184" i="25"/>
  <c r="Z12" i="39"/>
  <c r="U12" i="39"/>
  <c r="T12" i="39"/>
  <c r="Y12" i="39" s="1"/>
  <c r="N17" i="39"/>
  <c r="D12" i="33"/>
  <c r="D12" i="26"/>
  <c r="D12" i="36"/>
  <c r="L127" i="8"/>
  <c r="L116" i="8"/>
  <c r="M91" i="8"/>
  <c r="L136" i="8"/>
  <c r="L137" i="8" s="1"/>
  <c r="L80" i="8"/>
  <c r="L158" i="8"/>
  <c r="M136" i="8"/>
  <c r="M137" i="8" s="1"/>
  <c r="L103" i="8"/>
  <c r="L145" i="8"/>
  <c r="L146" i="8" s="1"/>
  <c r="M105" i="8"/>
  <c r="J21" i="8"/>
  <c r="M38" i="8"/>
  <c r="L68" i="8"/>
  <c r="M128" i="8"/>
  <c r="M70" i="8"/>
  <c r="L128" i="8"/>
  <c r="L38" i="8"/>
  <c r="L93" i="8"/>
  <c r="L70" i="10"/>
  <c r="L69" i="8"/>
  <c r="E14" i="28"/>
  <c r="M39" i="11"/>
  <c r="L38" i="11"/>
  <c r="E13" i="28"/>
  <c r="M39" i="10"/>
  <c r="D13" i="28"/>
  <c r="L39" i="10"/>
  <c r="L40" i="10"/>
  <c r="L57" i="9"/>
  <c r="L39" i="8"/>
  <c r="E10" i="28"/>
  <c r="M39" i="7"/>
  <c r="M40" i="7"/>
  <c r="D10" i="28"/>
  <c r="L39" i="7"/>
  <c r="L57" i="11"/>
  <c r="M57" i="8"/>
  <c r="L57" i="10"/>
  <c r="M57" i="10"/>
  <c r="L57" i="8"/>
  <c r="L55" i="7"/>
  <c r="L56" i="7" s="1"/>
  <c r="M57" i="7"/>
  <c r="L57" i="7"/>
  <c r="M158" i="11"/>
  <c r="M158" i="9"/>
  <c r="M158" i="10"/>
  <c r="M159" i="10" s="1"/>
  <c r="L158" i="10"/>
  <c r="L159" i="10" s="1"/>
  <c r="M158" i="8"/>
  <c r="M158" i="7"/>
  <c r="L158" i="7"/>
  <c r="L159" i="7" s="1"/>
  <c r="M40" i="11"/>
  <c r="M78" i="11"/>
  <c r="M79" i="11" s="1"/>
  <c r="M126" i="11"/>
  <c r="M127" i="11" s="1"/>
  <c r="L55" i="11"/>
  <c r="L91" i="11"/>
  <c r="L92" i="11" s="1"/>
  <c r="L103" i="11"/>
  <c r="L104" i="11" s="1"/>
  <c r="L115" i="11"/>
  <c r="L116" i="11" s="1"/>
  <c r="M91" i="11"/>
  <c r="M92" i="11" s="1"/>
  <c r="M103" i="11"/>
  <c r="M104" i="11" s="1"/>
  <c r="M138" i="11"/>
  <c r="L68" i="11"/>
  <c r="M68" i="11"/>
  <c r="M69" i="11" s="1"/>
  <c r="M55" i="11"/>
  <c r="M56" i="11" s="1"/>
  <c r="J19" i="11"/>
  <c r="J20" i="11" s="1"/>
  <c r="M126" i="10"/>
  <c r="M127" i="10" s="1"/>
  <c r="M55" i="10"/>
  <c r="M91" i="10"/>
  <c r="M92" i="10" s="1"/>
  <c r="M103" i="10"/>
  <c r="M104" i="10" s="1"/>
  <c r="M115" i="10"/>
  <c r="M116" i="10" s="1"/>
  <c r="M138" i="10"/>
  <c r="L68" i="10"/>
  <c r="L103" i="10"/>
  <c r="L104" i="10" s="1"/>
  <c r="M68" i="10"/>
  <c r="M69" i="10" s="1"/>
  <c r="L115" i="10"/>
  <c r="L116" i="10" s="1"/>
  <c r="M78" i="10"/>
  <c r="M79" i="10" s="1"/>
  <c r="L55" i="10"/>
  <c r="L93" i="10"/>
  <c r="M126" i="9"/>
  <c r="M127" i="9" s="1"/>
  <c r="L68" i="9"/>
  <c r="M115" i="9"/>
  <c r="M116" i="9" s="1"/>
  <c r="M68" i="9"/>
  <c r="M69" i="9" s="1"/>
  <c r="M138" i="9"/>
  <c r="L91" i="9"/>
  <c r="L92" i="9" s="1"/>
  <c r="L103" i="9"/>
  <c r="L104" i="9" s="1"/>
  <c r="L55" i="9"/>
  <c r="M103" i="9"/>
  <c r="M104" i="9" s="1"/>
  <c r="J19" i="9"/>
  <c r="J20" i="9" s="1"/>
  <c r="M80" i="9"/>
  <c r="M55" i="9"/>
  <c r="L117" i="9"/>
  <c r="M93" i="9"/>
  <c r="M115" i="8"/>
  <c r="M138" i="8"/>
  <c r="L55" i="8"/>
  <c r="L91" i="8"/>
  <c r="L92" i="8" s="1"/>
  <c r="M103" i="8"/>
  <c r="M126" i="8"/>
  <c r="M127" i="8" s="1"/>
  <c r="M55" i="8"/>
  <c r="M80" i="8"/>
  <c r="J19" i="8"/>
  <c r="L105" i="8"/>
  <c r="L117" i="8"/>
  <c r="M93" i="8"/>
  <c r="L70" i="8"/>
  <c r="M68" i="8"/>
  <c r="L40" i="7"/>
  <c r="M55" i="7"/>
  <c r="M103" i="7"/>
  <c r="M104" i="7" s="1"/>
  <c r="M115" i="7"/>
  <c r="M116" i="7" s="1"/>
  <c r="M138" i="7"/>
  <c r="L68" i="7"/>
  <c r="M91" i="7"/>
  <c r="M92" i="7" s="1"/>
  <c r="M68" i="7"/>
  <c r="M69" i="7" s="1"/>
  <c r="AD54" i="25"/>
  <c r="AD103" i="32"/>
  <c r="G25" i="26"/>
  <c r="H26" i="36"/>
  <c r="H24" i="25"/>
  <c r="W8" i="25"/>
  <c r="AD129" i="24"/>
  <c r="AE99" i="27"/>
  <c r="N15" i="25"/>
  <c r="AD99" i="32"/>
  <c r="AD77" i="32"/>
  <c r="AD191" i="25"/>
  <c r="AD204" i="28"/>
  <c r="AD256" i="28"/>
  <c r="AD23" i="39"/>
  <c r="AD76" i="33"/>
  <c r="J9" i="26"/>
  <c r="AD49" i="37"/>
  <c r="AD158" i="24"/>
  <c r="AD266" i="24"/>
  <c r="AD129" i="33"/>
  <c r="AE103" i="27"/>
  <c r="AE129" i="27"/>
  <c r="J17" i="26"/>
  <c r="W14" i="25"/>
  <c r="K10" i="36"/>
  <c r="AD295" i="24"/>
  <c r="AD75" i="24"/>
  <c r="N8" i="25"/>
  <c r="H26" i="33"/>
  <c r="AD82" i="25"/>
  <c r="AE155" i="27"/>
  <c r="AJ13" i="25"/>
  <c r="AD48" i="28"/>
  <c r="AD126" i="28"/>
  <c r="AD178" i="28"/>
  <c r="AD164" i="25"/>
  <c r="K9" i="36"/>
  <c r="AD152" i="28"/>
  <c r="AD102" i="33"/>
  <c r="AD76" i="37"/>
  <c r="AD23" i="37"/>
  <c r="W15" i="25"/>
  <c r="N14" i="25"/>
  <c r="AD209" i="24"/>
  <c r="AD74" i="28"/>
  <c r="AD129" i="36"/>
  <c r="AD282" i="28"/>
  <c r="H25" i="36"/>
  <c r="H23" i="25"/>
  <c r="K10" i="33"/>
  <c r="AD49" i="33"/>
  <c r="AD76" i="36"/>
  <c r="AD235" i="24"/>
  <c r="K17" i="33"/>
  <c r="J10" i="26"/>
  <c r="G26" i="26"/>
  <c r="AD19" i="39"/>
  <c r="K16" i="36"/>
  <c r="K16" i="33"/>
  <c r="AE77" i="27"/>
  <c r="AE50" i="27"/>
  <c r="AD239" i="24"/>
  <c r="AD155" i="35"/>
  <c r="AD102" i="36"/>
  <c r="H25" i="33"/>
  <c r="AD230" i="28"/>
  <c r="AD96" i="28"/>
  <c r="J16" i="26"/>
  <c r="AD100" i="24"/>
  <c r="AD50" i="32"/>
  <c r="AD155" i="33"/>
  <c r="AD109" i="25"/>
  <c r="AD100" i="28"/>
  <c r="AD185" i="24"/>
  <c r="AD49" i="24"/>
  <c r="K9" i="33"/>
  <c r="W7" i="25"/>
  <c r="K17" i="36"/>
  <c r="Q24" i="25"/>
  <c r="Q23" i="25"/>
  <c r="AD136" i="25"/>
  <c r="AD49" i="36"/>
  <c r="N7" i="25"/>
  <c r="AD174" i="28"/>
  <c r="AD78" i="25"/>
  <c r="AD181" i="24"/>
  <c r="AD291" i="24"/>
  <c r="AD122" i="28"/>
  <c r="E14" i="27" a="1"/>
  <c r="F13" i="27" a="1"/>
  <c r="D12" i="35" a="1"/>
  <c r="E15" i="27" a="1"/>
  <c r="D14" i="32" a="1"/>
  <c r="D14" i="28" a="1"/>
  <c r="D11" i="29" a="1"/>
  <c r="D11" i="32" a="1"/>
  <c r="E11" i="27" a="1"/>
  <c r="E12" i="36" a="1"/>
  <c r="E11" i="28" a="1"/>
  <c r="F14" i="27" a="1"/>
  <c r="F12" i="27" a="1"/>
  <c r="D11" i="28" a="1"/>
  <c r="D15" i="32" a="1"/>
  <c r="F11" i="27" a="1"/>
  <c r="E13" i="27" a="1"/>
  <c r="D12" i="32" a="1"/>
  <c r="E12" i="32" a="1"/>
  <c r="E12" i="27" a="1"/>
  <c r="D13" i="32" a="1"/>
  <c r="E12" i="33" a="1"/>
  <c r="Z193" i="28" l="1"/>
  <c r="Z98" i="25"/>
  <c r="I44" i="27"/>
  <c r="U68" i="28"/>
  <c r="N17" i="37"/>
  <c r="H185" i="25"/>
  <c r="N185" i="25"/>
  <c r="U171" i="28"/>
  <c r="N96" i="33"/>
  <c r="AO27" i="27"/>
  <c r="AO28" i="27"/>
  <c r="H158" i="25"/>
  <c r="N70" i="36"/>
  <c r="U98" i="25"/>
  <c r="H123" i="36"/>
  <c r="W64" i="24"/>
  <c r="X64" i="24" s="1"/>
  <c r="H96" i="35"/>
  <c r="H123" i="33"/>
  <c r="U203" i="24"/>
  <c r="W70" i="33"/>
  <c r="I97" i="27"/>
  <c r="H42" i="28"/>
  <c r="N224" i="28"/>
  <c r="H68" i="28"/>
  <c r="H224" i="28"/>
  <c r="Z89" i="24"/>
  <c r="X144" i="27"/>
  <c r="U157" i="25"/>
  <c r="U38" i="36"/>
  <c r="O123" i="27"/>
  <c r="Z37" i="28"/>
  <c r="N68" i="28"/>
  <c r="H43" i="36"/>
  <c r="Z255" i="24"/>
  <c r="I175" i="27"/>
  <c r="Z245" i="28"/>
  <c r="W92" i="32"/>
  <c r="W144" i="33"/>
  <c r="X144" i="33" s="1"/>
  <c r="AA144" i="33" s="1"/>
  <c r="X39" i="27"/>
  <c r="Y39" i="27" s="1"/>
  <c r="U44" i="27" s="1"/>
  <c r="Y44" i="27" s="1"/>
  <c r="V43" i="27"/>
  <c r="X284" i="24"/>
  <c r="T289" i="24" s="1"/>
  <c r="X289" i="24" s="1"/>
  <c r="U71" i="25"/>
  <c r="W91" i="33"/>
  <c r="W96" i="33" s="1"/>
  <c r="Z38" i="33"/>
  <c r="U167" i="28"/>
  <c r="N42" i="28"/>
  <c r="U95" i="33"/>
  <c r="U42" i="24"/>
  <c r="Z219" i="28"/>
  <c r="N70" i="37"/>
  <c r="U255" i="24"/>
  <c r="Z38" i="36"/>
  <c r="U118" i="33"/>
  <c r="W118" i="33"/>
  <c r="Z71" i="25"/>
  <c r="Z125" i="25"/>
  <c r="N149" i="35"/>
  <c r="H103" i="25"/>
  <c r="U64" i="24"/>
  <c r="H43" i="33"/>
  <c r="H17" i="39"/>
  <c r="U193" i="28"/>
  <c r="U123" i="33"/>
  <c r="Z118" i="33"/>
  <c r="N123" i="33"/>
  <c r="I123" i="27"/>
  <c r="U43" i="37"/>
  <c r="Y118" i="27"/>
  <c r="U123" i="27" s="1"/>
  <c r="Y123" i="27" s="1"/>
  <c r="W38" i="37"/>
  <c r="X38" i="37" s="1"/>
  <c r="T43" i="37" s="1"/>
  <c r="X43" i="37" s="1"/>
  <c r="AA92" i="27"/>
  <c r="U284" i="24"/>
  <c r="W38" i="36"/>
  <c r="X38" i="36" s="1"/>
  <c r="T42" i="36" s="1"/>
  <c r="X42" i="36" s="1"/>
  <c r="U38" i="37"/>
  <c r="U37" i="28"/>
  <c r="U65" i="33"/>
  <c r="W71" i="25"/>
  <c r="X71" i="25" s="1"/>
  <c r="V144" i="27"/>
  <c r="D41" i="41"/>
  <c r="H276" i="28"/>
  <c r="U65" i="37"/>
  <c r="O44" i="27"/>
  <c r="H260" i="24"/>
  <c r="Z38" i="37"/>
  <c r="Z38" i="24"/>
  <c r="U153" i="25"/>
  <c r="I71" i="27"/>
  <c r="X118" i="36"/>
  <c r="T123" i="36" s="1"/>
  <c r="X123" i="36" s="1"/>
  <c r="N76" i="25"/>
  <c r="Z198" i="24"/>
  <c r="N233" i="24"/>
  <c r="U38" i="24"/>
  <c r="AA39" i="27"/>
  <c r="Z63" i="28"/>
  <c r="W91" i="36"/>
  <c r="X91" i="36" s="1"/>
  <c r="T95" i="36" s="1"/>
  <c r="X95" i="36" s="1"/>
  <c r="H70" i="37"/>
  <c r="Z228" i="24"/>
  <c r="N289" i="24"/>
  <c r="N97" i="32"/>
  <c r="U97" i="32"/>
  <c r="V97" i="32" s="1"/>
  <c r="G41" i="41"/>
  <c r="W245" i="28"/>
  <c r="V250" i="28" s="1"/>
  <c r="N43" i="24"/>
  <c r="H149" i="35"/>
  <c r="Z174" i="24"/>
  <c r="Z144" i="35"/>
  <c r="Z144" i="33"/>
  <c r="U39" i="32"/>
  <c r="N43" i="37"/>
  <c r="H96" i="24"/>
  <c r="W63" i="28"/>
  <c r="W68" i="28" s="1"/>
  <c r="W153" i="25"/>
  <c r="X153" i="25" s="1"/>
  <c r="Z167" i="28"/>
  <c r="W180" i="25"/>
  <c r="X180" i="25" s="1"/>
  <c r="T184" i="25" s="1"/>
  <c r="X184" i="25" s="1"/>
  <c r="H289" i="24"/>
  <c r="H179" i="24"/>
  <c r="N48" i="25"/>
  <c r="AA144" i="27"/>
  <c r="AE49" i="36"/>
  <c r="AE136" i="25"/>
  <c r="AE49" i="24"/>
  <c r="AE185" i="24"/>
  <c r="AE100" i="28"/>
  <c r="AE109" i="25"/>
  <c r="AE155" i="33"/>
  <c r="AE50" i="32"/>
  <c r="AE100" i="24"/>
  <c r="AE230" i="28"/>
  <c r="AE102" i="36"/>
  <c r="AE155" i="35"/>
  <c r="AE239" i="24"/>
  <c r="AF50" i="27"/>
  <c r="AF77" i="27"/>
  <c r="AE76" i="36"/>
  <c r="AE49" i="33"/>
  <c r="AE282" i="28"/>
  <c r="AE129" i="36"/>
  <c r="AE74" i="28"/>
  <c r="AE209" i="24"/>
  <c r="AE23" i="37"/>
  <c r="AE76" i="37"/>
  <c r="AE102" i="33"/>
  <c r="AE152" i="28"/>
  <c r="AE164" i="25"/>
  <c r="AE178" i="28"/>
  <c r="AE126" i="28"/>
  <c r="AE48" i="28"/>
  <c r="AF155" i="27"/>
  <c r="AE82" i="25"/>
  <c r="AE75" i="24"/>
  <c r="AE295" i="24"/>
  <c r="AF129" i="27"/>
  <c r="AF103" i="27"/>
  <c r="AE129" i="33"/>
  <c r="AE266" i="24"/>
  <c r="AE158" i="24"/>
  <c r="AE49" i="37"/>
  <c r="AE76" i="33"/>
  <c r="AE23" i="39"/>
  <c r="AE256" i="28"/>
  <c r="AE204" i="28"/>
  <c r="AE191" i="25"/>
  <c r="AE77" i="32"/>
  <c r="AE129" i="24"/>
  <c r="AE103" i="32"/>
  <c r="AE54" i="25"/>
  <c r="AD44" i="36"/>
  <c r="AD39" i="36" s="1"/>
  <c r="AD40" i="36" s="1"/>
  <c r="Z65" i="37"/>
  <c r="Z118" i="36"/>
  <c r="W255" i="24"/>
  <c r="X255" i="24" s="1"/>
  <c r="T259" i="24" s="1"/>
  <c r="X259" i="24" s="1"/>
  <c r="U144" i="35"/>
  <c r="U93" i="24"/>
  <c r="W65" i="36"/>
  <c r="X65" i="36" s="1"/>
  <c r="T69" i="36" s="1"/>
  <c r="X69" i="36" s="1"/>
  <c r="U144" i="33"/>
  <c r="X125" i="25"/>
  <c r="T130" i="25" s="1"/>
  <c r="X130" i="25" s="1"/>
  <c r="AD44" i="24"/>
  <c r="AD39" i="24" s="1"/>
  <c r="AD40" i="24" s="1"/>
  <c r="AD104" i="25"/>
  <c r="AD99" i="25" s="1"/>
  <c r="AD100" i="25" s="1"/>
  <c r="AD95" i="24"/>
  <c r="AD90" i="24" s="1"/>
  <c r="AD91" i="24" s="1"/>
  <c r="AD225" i="28"/>
  <c r="AD97" i="36"/>
  <c r="AD150" i="35"/>
  <c r="W38" i="24"/>
  <c r="X38" i="24" s="1"/>
  <c r="T42" i="24" s="1"/>
  <c r="X42" i="24" s="1"/>
  <c r="AE45" i="27"/>
  <c r="U260" i="24"/>
  <c r="Z271" i="28"/>
  <c r="Z115" i="28"/>
  <c r="I149" i="27"/>
  <c r="H70" i="33"/>
  <c r="N203" i="24"/>
  <c r="AD44" i="33"/>
  <c r="AD39" i="33" s="1"/>
  <c r="AD40" i="33" s="1"/>
  <c r="Z39" i="32"/>
  <c r="Z64" i="24"/>
  <c r="Z147" i="24"/>
  <c r="AD277" i="28"/>
  <c r="AD272" i="28" s="1"/>
  <c r="AD273" i="28" s="1"/>
  <c r="H233" i="24"/>
  <c r="AD204" i="24"/>
  <c r="Z91" i="33"/>
  <c r="N158" i="25"/>
  <c r="N123" i="36"/>
  <c r="N198" i="28"/>
  <c r="AD97" i="33"/>
  <c r="AD147" i="28"/>
  <c r="Z12" i="37"/>
  <c r="AD43" i="28"/>
  <c r="AE150" i="27"/>
  <c r="AE145" i="27" s="1"/>
  <c r="AE146" i="27" s="1"/>
  <c r="W37" i="28"/>
  <c r="X37" i="28" s="1"/>
  <c r="AD70" i="24"/>
  <c r="AD65" i="24" s="1"/>
  <c r="AD66" i="24" s="1"/>
  <c r="U125" i="25"/>
  <c r="U66" i="32"/>
  <c r="AD131" i="25"/>
  <c r="AD126" i="25" s="1"/>
  <c r="AD127" i="25" s="1"/>
  <c r="AD159" i="25"/>
  <c r="AD154" i="25" s="1"/>
  <c r="AD155" i="25" s="1"/>
  <c r="U96" i="36"/>
  <c r="W144" i="35"/>
  <c r="X144" i="35" s="1"/>
  <c r="T148" i="35" s="1"/>
  <c r="X148" i="35" s="1"/>
  <c r="AE124" i="27"/>
  <c r="AD153" i="24"/>
  <c r="AD44" i="37"/>
  <c r="U42" i="28"/>
  <c r="U148" i="35"/>
  <c r="AD71" i="33"/>
  <c r="AD251" i="28"/>
  <c r="AD246" i="28" s="1"/>
  <c r="AD247" i="28" s="1"/>
  <c r="AD199" i="28"/>
  <c r="AD72" i="32"/>
  <c r="W89" i="24"/>
  <c r="X89" i="24" s="1"/>
  <c r="T93" i="24" s="1"/>
  <c r="X93" i="24" s="1"/>
  <c r="AE72" i="27"/>
  <c r="AE67" i="27" s="1"/>
  <c r="AE68" i="27" s="1"/>
  <c r="AD49" i="25"/>
  <c r="AA118" i="27"/>
  <c r="Z118" i="24"/>
  <c r="H250" i="28"/>
  <c r="Z92" i="32"/>
  <c r="W198" i="24"/>
  <c r="X198" i="24" s="1"/>
  <c r="N94" i="28"/>
  <c r="Z43" i="25"/>
  <c r="H76" i="25"/>
  <c r="Z180" i="25"/>
  <c r="X12" i="37"/>
  <c r="T17" i="37" s="1"/>
  <c r="X17" i="37" s="1"/>
  <c r="H152" i="24"/>
  <c r="U115" i="28"/>
  <c r="U69" i="37"/>
  <c r="Z65" i="36"/>
  <c r="N43" i="36"/>
  <c r="W65" i="37"/>
  <c r="V70" i="37" s="1"/>
  <c r="U70" i="36"/>
  <c r="W193" i="28"/>
  <c r="X193" i="28" s="1"/>
  <c r="AA193" i="28" s="1"/>
  <c r="H70" i="36"/>
  <c r="AA66" i="27"/>
  <c r="W38" i="33"/>
  <c r="W43" i="33" s="1"/>
  <c r="W115" i="28"/>
  <c r="W120" i="28" s="1"/>
  <c r="U65" i="36"/>
  <c r="N43" i="33"/>
  <c r="V118" i="27"/>
  <c r="N179" i="24"/>
  <c r="X147" i="24"/>
  <c r="T151" i="24" s="1"/>
  <c r="X151" i="24" s="1"/>
  <c r="H94" i="28"/>
  <c r="H96" i="36"/>
  <c r="Y66" i="27"/>
  <c r="AB66" i="27" s="1"/>
  <c r="U178" i="24"/>
  <c r="X92" i="32"/>
  <c r="T97" i="32" s="1"/>
  <c r="X97" i="32" s="1"/>
  <c r="U92" i="32"/>
  <c r="W228" i="24"/>
  <c r="U228" i="24"/>
  <c r="W167" i="28"/>
  <c r="V172" i="28" s="1"/>
  <c r="U43" i="25"/>
  <c r="U43" i="32"/>
  <c r="U233" i="24"/>
  <c r="U245" i="28"/>
  <c r="Y92" i="27"/>
  <c r="U96" i="27" s="1"/>
  <c r="Y96" i="27" s="1"/>
  <c r="Z91" i="36"/>
  <c r="V92" i="27"/>
  <c r="W39" i="32"/>
  <c r="V44" i="32" s="1"/>
  <c r="U198" i="28"/>
  <c r="U197" i="28"/>
  <c r="V66" i="27"/>
  <c r="U12" i="37"/>
  <c r="W174" i="24"/>
  <c r="V152" i="24"/>
  <c r="W152" i="24"/>
  <c r="W123" i="27"/>
  <c r="W71" i="32"/>
  <c r="X65" i="33"/>
  <c r="T70" i="33" s="1"/>
  <c r="X70" i="33" s="1"/>
  <c r="V70" i="33"/>
  <c r="W250" i="28"/>
  <c r="X97" i="27"/>
  <c r="W97" i="27"/>
  <c r="W149" i="27"/>
  <c r="V289" i="24"/>
  <c r="Y144" i="27"/>
  <c r="AB144" i="27" s="1"/>
  <c r="T70" i="32"/>
  <c r="X70" i="32" s="1"/>
  <c r="X149" i="27"/>
  <c r="X123" i="27"/>
  <c r="V48" i="25"/>
  <c r="W130" i="25"/>
  <c r="T71" i="32"/>
  <c r="X71" i="32" s="1"/>
  <c r="AD97" i="28"/>
  <c r="AD98" i="28" s="1"/>
  <c r="AD79" i="25"/>
  <c r="AD80" i="25" s="1"/>
  <c r="AD175" i="28"/>
  <c r="AD176" i="28" s="1"/>
  <c r="V71" i="32"/>
  <c r="AD90" i="28"/>
  <c r="AD91" i="28" s="1"/>
  <c r="AD72" i="25"/>
  <c r="AD73" i="25" s="1"/>
  <c r="AD168" i="28"/>
  <c r="AD169" i="28" s="1"/>
  <c r="AD182" i="24"/>
  <c r="AD175" i="24"/>
  <c r="AD176" i="24" s="1"/>
  <c r="AD292" i="24"/>
  <c r="AD294" i="24" s="1"/>
  <c r="AE294" i="24" s="1"/>
  <c r="AD100" i="32"/>
  <c r="AD101" i="32" s="1"/>
  <c r="AD123" i="28"/>
  <c r="AD124" i="28" s="1"/>
  <c r="AD236" i="24"/>
  <c r="AD237" i="24" s="1"/>
  <c r="AE100" i="27"/>
  <c r="AE102" i="27" s="1"/>
  <c r="AF102" i="27" s="1"/>
  <c r="AD285" i="24"/>
  <c r="AD286" i="24" s="1"/>
  <c r="AD93" i="32"/>
  <c r="AD94" i="32" s="1"/>
  <c r="AD116" i="28"/>
  <c r="AD117" i="28" s="1"/>
  <c r="W71" i="27"/>
  <c r="X71" i="27"/>
  <c r="AD229" i="24"/>
  <c r="AD230" i="24" s="1"/>
  <c r="AE93" i="27"/>
  <c r="AE94" i="27" s="1"/>
  <c r="W289" i="24"/>
  <c r="AD119" i="33"/>
  <c r="AD120" i="33" s="1"/>
  <c r="V130" i="25"/>
  <c r="X141" i="28"/>
  <c r="W146" i="28"/>
  <c r="V146" i="28"/>
  <c r="U68" i="24"/>
  <c r="U69" i="24"/>
  <c r="AD66" i="36"/>
  <c r="AD67" i="36" s="1"/>
  <c r="AD64" i="28"/>
  <c r="AD65" i="28" s="1"/>
  <c r="AD119" i="24"/>
  <c r="AD120" i="24" s="1"/>
  <c r="AD181" i="25"/>
  <c r="AD182" i="25" s="1"/>
  <c r="V224" i="28"/>
  <c r="W123" i="24"/>
  <c r="V123" i="24"/>
  <c r="U75" i="25"/>
  <c r="U76" i="25"/>
  <c r="AD256" i="24"/>
  <c r="AD257" i="24" s="1"/>
  <c r="X219" i="28"/>
  <c r="W224" i="28"/>
  <c r="V103" i="25"/>
  <c r="W103" i="25"/>
  <c r="X98" i="25"/>
  <c r="X271" i="28"/>
  <c r="V276" i="28"/>
  <c r="W276" i="28"/>
  <c r="AD119" i="36"/>
  <c r="AD120" i="36" s="1"/>
  <c r="V17" i="37"/>
  <c r="W17" i="37"/>
  <c r="X118" i="24"/>
  <c r="AD145" i="33"/>
  <c r="AD146" i="33" s="1"/>
  <c r="X38" i="33"/>
  <c r="V43" i="33"/>
  <c r="W48" i="25"/>
  <c r="X43" i="25"/>
  <c r="AD13" i="37"/>
  <c r="AD14" i="37" s="1"/>
  <c r="V94" i="28"/>
  <c r="W94" i="28"/>
  <c r="X89" i="28"/>
  <c r="U122" i="36"/>
  <c r="U123" i="36"/>
  <c r="W123" i="36" s="1"/>
  <c r="AD66" i="37"/>
  <c r="AD67" i="37" s="1"/>
  <c r="AD40" i="32"/>
  <c r="AD41" i="32" s="1"/>
  <c r="AD13" i="39"/>
  <c r="AD14" i="39" s="1"/>
  <c r="AD20" i="39"/>
  <c r="U16" i="39"/>
  <c r="U17" i="39"/>
  <c r="W12" i="39"/>
  <c r="E12" i="32"/>
  <c r="W17" i="25"/>
  <c r="W10" i="25"/>
  <c r="D11" i="29"/>
  <c r="E12" i="33"/>
  <c r="AD12" i="33" s="1"/>
  <c r="K19" i="36"/>
  <c r="K12" i="36"/>
  <c r="D12" i="35"/>
  <c r="E12" i="36"/>
  <c r="AD12" i="36" s="1"/>
  <c r="J12" i="26"/>
  <c r="J19" i="26"/>
  <c r="D11" i="28"/>
  <c r="D12" i="32"/>
  <c r="K19" i="33"/>
  <c r="K12" i="33"/>
  <c r="E11" i="28"/>
  <c r="N10" i="25"/>
  <c r="N17" i="25"/>
  <c r="M69" i="8"/>
  <c r="AA9" i="25"/>
  <c r="Q22" i="25"/>
  <c r="Q17" i="25"/>
  <c r="Q10" i="25"/>
  <c r="T15" i="25"/>
  <c r="Q11" i="25"/>
  <c r="Q7" i="25"/>
  <c r="Q12" i="25"/>
  <c r="T17" i="25"/>
  <c r="Q16" i="25"/>
  <c r="AK7" i="25"/>
  <c r="Q13" i="25"/>
  <c r="Q18" i="25"/>
  <c r="T16" i="25"/>
  <c r="Z9" i="25"/>
  <c r="Z10" i="25" s="1"/>
  <c r="AE10" i="25" s="1"/>
  <c r="Q19" i="25"/>
  <c r="Q8" i="25"/>
  <c r="Q14" i="25"/>
  <c r="T19" i="25"/>
  <c r="Q9" i="25"/>
  <c r="Q20" i="25"/>
  <c r="AB9" i="25"/>
  <c r="Q21" i="25"/>
  <c r="J20" i="8"/>
  <c r="M92" i="8"/>
  <c r="H20" i="36"/>
  <c r="V10" i="36"/>
  <c r="H9" i="36"/>
  <c r="H12" i="36"/>
  <c r="H14" i="36"/>
  <c r="U10" i="36"/>
  <c r="H16" i="36"/>
  <c r="H18" i="36"/>
  <c r="H24" i="36"/>
  <c r="H21" i="36"/>
  <c r="H10" i="36"/>
  <c r="H19" i="36"/>
  <c r="H22" i="36"/>
  <c r="H11" i="36"/>
  <c r="H23" i="36"/>
  <c r="AD9" i="36"/>
  <c r="T10" i="36"/>
  <c r="H13" i="36"/>
  <c r="H15" i="36"/>
  <c r="L104" i="8"/>
  <c r="M116" i="8"/>
  <c r="G11" i="26"/>
  <c r="G23" i="26"/>
  <c r="G19" i="26"/>
  <c r="G18" i="26"/>
  <c r="G21" i="26"/>
  <c r="G22" i="26"/>
  <c r="G24" i="26"/>
  <c r="G12" i="26"/>
  <c r="G10" i="26"/>
  <c r="G20" i="26"/>
  <c r="G16" i="26"/>
  <c r="G13" i="26"/>
  <c r="G9" i="26"/>
  <c r="G14" i="26"/>
  <c r="G15" i="26"/>
  <c r="M104" i="8"/>
  <c r="H24" i="33"/>
  <c r="H23" i="33"/>
  <c r="H22" i="33"/>
  <c r="H21" i="33"/>
  <c r="H19" i="33"/>
  <c r="AD9" i="33"/>
  <c r="H20" i="33"/>
  <c r="H18" i="33"/>
  <c r="H16" i="33"/>
  <c r="H15" i="33"/>
  <c r="H14" i="33"/>
  <c r="V10" i="33"/>
  <c r="H13" i="33"/>
  <c r="U10" i="33"/>
  <c r="H12" i="33"/>
  <c r="T10" i="33"/>
  <c r="H11" i="33"/>
  <c r="H10" i="33"/>
  <c r="H9" i="33"/>
  <c r="L159" i="8"/>
  <c r="M39" i="8"/>
  <c r="H18" i="25"/>
  <c r="AB8" i="25"/>
  <c r="H17" i="25"/>
  <c r="H9" i="25"/>
  <c r="K17" i="25"/>
  <c r="AA8" i="25"/>
  <c r="H8" i="25"/>
  <c r="K16" i="25"/>
  <c r="AJ7" i="25"/>
  <c r="H16" i="25"/>
  <c r="H7" i="25"/>
  <c r="K15" i="25"/>
  <c r="H14" i="25"/>
  <c r="H13" i="25"/>
  <c r="H22" i="25"/>
  <c r="H10" i="25"/>
  <c r="H21" i="25"/>
  <c r="K19" i="25"/>
  <c r="H12" i="25"/>
  <c r="AJ10" i="25"/>
  <c r="H11" i="25"/>
  <c r="AB10" i="25" a="1"/>
  <c r="AB10" i="25" s="1"/>
  <c r="AJ9" i="25"/>
  <c r="H19" i="25"/>
  <c r="Z8" i="25"/>
  <c r="H20" i="25"/>
  <c r="D15" i="32"/>
  <c r="L69" i="11"/>
  <c r="D14" i="32"/>
  <c r="L69" i="10"/>
  <c r="D13" i="32"/>
  <c r="L69" i="9"/>
  <c r="D11" i="32"/>
  <c r="L69" i="7"/>
  <c r="D14" i="28"/>
  <c r="L39" i="11"/>
  <c r="E15" i="27"/>
  <c r="L56" i="11"/>
  <c r="E13" i="27"/>
  <c r="L56" i="9"/>
  <c r="F12" i="27"/>
  <c r="M56" i="8"/>
  <c r="E14" i="27"/>
  <c r="L56" i="10"/>
  <c r="F14" i="27"/>
  <c r="M56" i="10"/>
  <c r="F13" i="27"/>
  <c r="M56" i="9"/>
  <c r="E12" i="27"/>
  <c r="L56" i="8"/>
  <c r="E11" i="27"/>
  <c r="F11" i="27"/>
  <c r="M56" i="7"/>
  <c r="M159" i="11"/>
  <c r="M159" i="9"/>
  <c r="M159" i="8"/>
  <c r="M159" i="7"/>
  <c r="F177" i="6"/>
  <c r="F178" i="6" s="1"/>
  <c r="F176" i="6"/>
  <c r="I167" i="6"/>
  <c r="H167" i="6"/>
  <c r="I166" i="6"/>
  <c r="H166" i="6"/>
  <c r="I165" i="6"/>
  <c r="H165" i="6"/>
  <c r="I164" i="6"/>
  <c r="H164" i="6"/>
  <c r="I163" i="6"/>
  <c r="H163" i="6"/>
  <c r="L158" i="6" s="1"/>
  <c r="L159" i="6" s="1"/>
  <c r="I162" i="6"/>
  <c r="H162" i="6"/>
  <c r="I161" i="6"/>
  <c r="H161" i="6"/>
  <c r="I160" i="6"/>
  <c r="H160" i="6"/>
  <c r="I159" i="6"/>
  <c r="H159" i="6"/>
  <c r="I158" i="6"/>
  <c r="H158" i="6"/>
  <c r="I150" i="6"/>
  <c r="H150" i="6"/>
  <c r="L145" i="6" s="1"/>
  <c r="L146" i="6" s="1"/>
  <c r="I149" i="6"/>
  <c r="H149" i="6"/>
  <c r="I148" i="6"/>
  <c r="M145" i="6" s="1"/>
  <c r="M146" i="6" s="1"/>
  <c r="H148" i="6"/>
  <c r="I147" i="6"/>
  <c r="H147" i="6"/>
  <c r="I146" i="6"/>
  <c r="H146" i="6"/>
  <c r="I145" i="6"/>
  <c r="H145" i="6"/>
  <c r="L138" i="6"/>
  <c r="I137" i="6"/>
  <c r="M136" i="6" s="1"/>
  <c r="M137" i="6" s="1"/>
  <c r="H137" i="6"/>
  <c r="L136" i="6" s="1"/>
  <c r="L137" i="6" s="1"/>
  <c r="I136" i="6"/>
  <c r="M138" i="6" s="1"/>
  <c r="H136" i="6"/>
  <c r="I128" i="6"/>
  <c r="H128" i="6"/>
  <c r="I127" i="6"/>
  <c r="H127" i="6"/>
  <c r="I126" i="6"/>
  <c r="M128" i="6" s="1"/>
  <c r="H126" i="6"/>
  <c r="L128" i="6" s="1"/>
  <c r="I118" i="6"/>
  <c r="H118" i="6"/>
  <c r="I117" i="6"/>
  <c r="H117" i="6"/>
  <c r="I116" i="6"/>
  <c r="H116" i="6"/>
  <c r="L115" i="6"/>
  <c r="L116" i="6" s="1"/>
  <c r="I115" i="6"/>
  <c r="M117" i="6" s="1"/>
  <c r="H115" i="6"/>
  <c r="L117" i="6" s="1"/>
  <c r="I107" i="6"/>
  <c r="H107" i="6"/>
  <c r="I106" i="6"/>
  <c r="H106" i="6"/>
  <c r="I105" i="6"/>
  <c r="H105" i="6"/>
  <c r="I104" i="6"/>
  <c r="H104" i="6"/>
  <c r="L103" i="6"/>
  <c r="L104" i="6" s="1"/>
  <c r="I103" i="6"/>
  <c r="M105" i="6" s="1"/>
  <c r="H103" i="6"/>
  <c r="L105" i="6" s="1"/>
  <c r="I95" i="6"/>
  <c r="H95" i="6"/>
  <c r="I94" i="6"/>
  <c r="H94" i="6"/>
  <c r="I93" i="6"/>
  <c r="H93" i="6"/>
  <c r="I92" i="6"/>
  <c r="H92" i="6"/>
  <c r="L91" i="6"/>
  <c r="L92" i="6" s="1"/>
  <c r="I91" i="6"/>
  <c r="M93" i="6" s="1"/>
  <c r="H91" i="6"/>
  <c r="L93" i="6" s="1"/>
  <c r="I83" i="6"/>
  <c r="H83" i="6"/>
  <c r="I82" i="6"/>
  <c r="H82" i="6"/>
  <c r="I81" i="6"/>
  <c r="H81" i="6"/>
  <c r="I80" i="6"/>
  <c r="H80" i="6"/>
  <c r="I79" i="6"/>
  <c r="H79" i="6"/>
  <c r="I78" i="6"/>
  <c r="M80" i="6" s="1"/>
  <c r="H78" i="6"/>
  <c r="L80" i="6" s="1"/>
  <c r="I70" i="6"/>
  <c r="H70" i="6"/>
  <c r="I69" i="6"/>
  <c r="M70" i="6" s="1"/>
  <c r="H69" i="6"/>
  <c r="I68" i="6"/>
  <c r="M68" i="6" s="1"/>
  <c r="H68" i="6"/>
  <c r="L70" i="6" s="1"/>
  <c r="I60" i="6"/>
  <c r="H60" i="6"/>
  <c r="L55" i="6" s="1"/>
  <c r="I59" i="6"/>
  <c r="H59" i="6"/>
  <c r="I58" i="6"/>
  <c r="H58" i="6"/>
  <c r="I57" i="6"/>
  <c r="H57" i="6"/>
  <c r="I56" i="6"/>
  <c r="H56" i="6"/>
  <c r="I55" i="6"/>
  <c r="M57" i="6" s="1"/>
  <c r="H55" i="6"/>
  <c r="I47" i="6"/>
  <c r="H47" i="6"/>
  <c r="I46" i="6"/>
  <c r="H46" i="6"/>
  <c r="I45" i="6"/>
  <c r="H45" i="6"/>
  <c r="I44" i="6"/>
  <c r="H44" i="6"/>
  <c r="I43" i="6"/>
  <c r="H43" i="6"/>
  <c r="I42" i="6"/>
  <c r="H42" i="6"/>
  <c r="I41" i="6"/>
  <c r="H41" i="6"/>
  <c r="I40" i="6"/>
  <c r="H40" i="6"/>
  <c r="I39" i="6"/>
  <c r="H39" i="6"/>
  <c r="I38" i="6"/>
  <c r="H38" i="6"/>
  <c r="L38" i="6" s="1"/>
  <c r="F29" i="6"/>
  <c r="F28" i="6"/>
  <c r="F27" i="6"/>
  <c r="F26" i="6"/>
  <c r="F25" i="6"/>
  <c r="F24" i="6"/>
  <c r="F23" i="6"/>
  <c r="J21" i="6" s="1"/>
  <c r="F22" i="6"/>
  <c r="F21" i="6"/>
  <c r="F20" i="6"/>
  <c r="F177" i="5"/>
  <c r="F178" i="5" s="1"/>
  <c r="F176" i="5"/>
  <c r="I167" i="5"/>
  <c r="H167" i="5"/>
  <c r="I166" i="5"/>
  <c r="H166" i="5"/>
  <c r="I165" i="5"/>
  <c r="H165" i="5"/>
  <c r="L158" i="5" s="1"/>
  <c r="L159" i="5" s="1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0" i="5"/>
  <c r="H150" i="5"/>
  <c r="I149" i="5"/>
  <c r="H149" i="5"/>
  <c r="I148" i="5"/>
  <c r="H148" i="5"/>
  <c r="I147" i="5"/>
  <c r="M145" i="5" s="1"/>
  <c r="M146" i="5" s="1"/>
  <c r="H147" i="5"/>
  <c r="I146" i="5"/>
  <c r="H146" i="5"/>
  <c r="L145" i="5"/>
  <c r="L146" i="5" s="1"/>
  <c r="I145" i="5"/>
  <c r="H145" i="5"/>
  <c r="L138" i="5"/>
  <c r="I137" i="5"/>
  <c r="M136" i="5" s="1"/>
  <c r="M137" i="5" s="1"/>
  <c r="H137" i="5"/>
  <c r="I136" i="5"/>
  <c r="H136" i="5"/>
  <c r="L136" i="5" s="1"/>
  <c r="L137" i="5" s="1"/>
  <c r="I128" i="5"/>
  <c r="H128" i="5"/>
  <c r="I127" i="5"/>
  <c r="H127" i="5"/>
  <c r="L126" i="5" s="1"/>
  <c r="L127" i="5" s="1"/>
  <c r="M126" i="5"/>
  <c r="M127" i="5" s="1"/>
  <c r="I126" i="5"/>
  <c r="M128" i="5" s="1"/>
  <c r="H126" i="5"/>
  <c r="L128" i="5" s="1"/>
  <c r="I118" i="5"/>
  <c r="H118" i="5"/>
  <c r="I117" i="5"/>
  <c r="H117" i="5"/>
  <c r="L116" i="5"/>
  <c r="I116" i="5"/>
  <c r="H116" i="5"/>
  <c r="L115" i="5"/>
  <c r="I115" i="5"/>
  <c r="M117" i="5" s="1"/>
  <c r="H115" i="5"/>
  <c r="L117" i="5" s="1"/>
  <c r="I107" i="5"/>
  <c r="H107" i="5"/>
  <c r="I106" i="5"/>
  <c r="H106" i="5"/>
  <c r="I105" i="5"/>
  <c r="H105" i="5"/>
  <c r="I104" i="5"/>
  <c r="H104" i="5"/>
  <c r="L103" i="5"/>
  <c r="L104" i="5" s="1"/>
  <c r="I103" i="5"/>
  <c r="M105" i="5" s="1"/>
  <c r="H103" i="5"/>
  <c r="L105" i="5" s="1"/>
  <c r="I95" i="5"/>
  <c r="H95" i="5"/>
  <c r="I94" i="5"/>
  <c r="H94" i="5"/>
  <c r="I93" i="5"/>
  <c r="H93" i="5"/>
  <c r="I92" i="5"/>
  <c r="H92" i="5"/>
  <c r="L91" i="5"/>
  <c r="L92" i="5" s="1"/>
  <c r="I91" i="5"/>
  <c r="M93" i="5" s="1"/>
  <c r="H91" i="5"/>
  <c r="L93" i="5" s="1"/>
  <c r="I83" i="5"/>
  <c r="H83" i="5"/>
  <c r="I82" i="5"/>
  <c r="H82" i="5"/>
  <c r="I81" i="5"/>
  <c r="H81" i="5"/>
  <c r="I80" i="5"/>
  <c r="H80" i="5"/>
  <c r="I79" i="5"/>
  <c r="H79" i="5"/>
  <c r="L78" i="5" s="1"/>
  <c r="L79" i="5" s="1"/>
  <c r="M78" i="5"/>
  <c r="M79" i="5" s="1"/>
  <c r="I78" i="5"/>
  <c r="M80" i="5" s="1"/>
  <c r="H78" i="5"/>
  <c r="L80" i="5" s="1"/>
  <c r="I70" i="5"/>
  <c r="H70" i="5"/>
  <c r="I69" i="5"/>
  <c r="M70" i="5" s="1"/>
  <c r="H69" i="5"/>
  <c r="I68" i="5"/>
  <c r="H68" i="5"/>
  <c r="I60" i="5"/>
  <c r="H60" i="5"/>
  <c r="I59" i="5"/>
  <c r="H59" i="5"/>
  <c r="I58" i="5"/>
  <c r="H58" i="5"/>
  <c r="I57" i="5"/>
  <c r="H57" i="5"/>
  <c r="I56" i="5"/>
  <c r="H56" i="5"/>
  <c r="I55" i="5"/>
  <c r="H55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M38" i="5" s="1"/>
  <c r="H38" i="5"/>
  <c r="L38" i="5" s="1"/>
  <c r="F29" i="5"/>
  <c r="F28" i="5"/>
  <c r="F27" i="5"/>
  <c r="F26" i="5"/>
  <c r="F25" i="5"/>
  <c r="F24" i="5"/>
  <c r="F23" i="5"/>
  <c r="J21" i="5" s="1"/>
  <c r="F22" i="5"/>
  <c r="F21" i="5"/>
  <c r="F20" i="5"/>
  <c r="J19" i="5" s="1"/>
  <c r="J20" i="5" s="1"/>
  <c r="F177" i="4"/>
  <c r="F178" i="4" s="1"/>
  <c r="F176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L158" i="4" s="1"/>
  <c r="L159" i="4" s="1"/>
  <c r="I159" i="4"/>
  <c r="H159" i="4"/>
  <c r="I158" i="4"/>
  <c r="H158" i="4"/>
  <c r="I150" i="4"/>
  <c r="H150" i="4"/>
  <c r="I149" i="4"/>
  <c r="H149" i="4"/>
  <c r="I148" i="4"/>
  <c r="H148" i="4"/>
  <c r="I147" i="4"/>
  <c r="H147" i="4"/>
  <c r="L146" i="4"/>
  <c r="I146" i="4"/>
  <c r="H146" i="4"/>
  <c r="M145" i="4"/>
  <c r="M146" i="4" s="1"/>
  <c r="L145" i="4"/>
  <c r="I145" i="4"/>
  <c r="H145" i="4"/>
  <c r="I137" i="4"/>
  <c r="H137" i="4"/>
  <c r="I136" i="4"/>
  <c r="M136" i="4" s="1"/>
  <c r="M137" i="4" s="1"/>
  <c r="H136" i="4"/>
  <c r="L136" i="4" s="1"/>
  <c r="L137" i="4" s="1"/>
  <c r="I128" i="4"/>
  <c r="M126" i="4" s="1"/>
  <c r="M127" i="4" s="1"/>
  <c r="H128" i="4"/>
  <c r="I127" i="4"/>
  <c r="H127" i="4"/>
  <c r="L126" i="4"/>
  <c r="L127" i="4" s="1"/>
  <c r="I126" i="4"/>
  <c r="M128" i="4" s="1"/>
  <c r="H126" i="4"/>
  <c r="L128" i="4" s="1"/>
  <c r="I118" i="4"/>
  <c r="H118" i="4"/>
  <c r="I117" i="4"/>
  <c r="H117" i="4"/>
  <c r="I116" i="4"/>
  <c r="H116" i="4"/>
  <c r="I115" i="4"/>
  <c r="M117" i="4" s="1"/>
  <c r="H115" i="4"/>
  <c r="L117" i="4" s="1"/>
  <c r="I107" i="4"/>
  <c r="H107" i="4"/>
  <c r="I106" i="4"/>
  <c r="H106" i="4"/>
  <c r="I105" i="4"/>
  <c r="H105" i="4"/>
  <c r="I104" i="4"/>
  <c r="H104" i="4"/>
  <c r="I103" i="4"/>
  <c r="M105" i="4" s="1"/>
  <c r="H103" i="4"/>
  <c r="L105" i="4" s="1"/>
  <c r="I95" i="4"/>
  <c r="H95" i="4"/>
  <c r="I94" i="4"/>
  <c r="H94" i="4"/>
  <c r="I93" i="4"/>
  <c r="H93" i="4"/>
  <c r="I92" i="4"/>
  <c r="H92" i="4"/>
  <c r="I91" i="4"/>
  <c r="M93" i="4" s="1"/>
  <c r="H91" i="4"/>
  <c r="L93" i="4" s="1"/>
  <c r="I83" i="4"/>
  <c r="H83" i="4"/>
  <c r="I82" i="4"/>
  <c r="H82" i="4"/>
  <c r="I81" i="4"/>
  <c r="H81" i="4"/>
  <c r="I80" i="4"/>
  <c r="H80" i="4"/>
  <c r="I79" i="4"/>
  <c r="M80" i="4" s="1"/>
  <c r="H79" i="4"/>
  <c r="L80" i="4" s="1"/>
  <c r="M78" i="4"/>
  <c r="M79" i="4" s="1"/>
  <c r="L78" i="4"/>
  <c r="L79" i="4" s="1"/>
  <c r="I78" i="4"/>
  <c r="H78" i="4"/>
  <c r="I70" i="4"/>
  <c r="H70" i="4"/>
  <c r="I69" i="4"/>
  <c r="H69" i="4"/>
  <c r="I68" i="4"/>
  <c r="M68" i="4" s="1"/>
  <c r="H68" i="4"/>
  <c r="L70" i="4" s="1"/>
  <c r="I60" i="4"/>
  <c r="H60" i="4"/>
  <c r="I59" i="4"/>
  <c r="H59" i="4"/>
  <c r="I58" i="4"/>
  <c r="H58" i="4"/>
  <c r="I57" i="4"/>
  <c r="H57" i="4"/>
  <c r="I56" i="4"/>
  <c r="H56" i="4"/>
  <c r="I55" i="4"/>
  <c r="H55" i="4"/>
  <c r="I47" i="4"/>
  <c r="H47" i="4"/>
  <c r="I46" i="4"/>
  <c r="H46" i="4"/>
  <c r="I45" i="4"/>
  <c r="H45" i="4"/>
  <c r="I44" i="4"/>
  <c r="H44" i="4"/>
  <c r="I43" i="4"/>
  <c r="H43" i="4"/>
  <c r="I42" i="4"/>
  <c r="H42" i="4"/>
  <c r="L38" i="4" s="1"/>
  <c r="I41" i="4"/>
  <c r="H41" i="4"/>
  <c r="M40" i="4"/>
  <c r="L40" i="4"/>
  <c r="I40" i="4"/>
  <c r="H40" i="4"/>
  <c r="I39" i="4"/>
  <c r="H39" i="4"/>
  <c r="I38" i="4"/>
  <c r="H38" i="4"/>
  <c r="F29" i="4"/>
  <c r="F28" i="4"/>
  <c r="F27" i="4"/>
  <c r="F26" i="4"/>
  <c r="F25" i="4"/>
  <c r="F24" i="4"/>
  <c r="J19" i="4" s="1"/>
  <c r="J20" i="4" s="1"/>
  <c r="F23" i="4"/>
  <c r="F22" i="4"/>
  <c r="F21" i="4"/>
  <c r="F20" i="4"/>
  <c r="J21" i="4" s="1"/>
  <c r="F178" i="3"/>
  <c r="F177" i="3"/>
  <c r="F176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L158" i="3" s="1"/>
  <c r="L159" i="3" s="1"/>
  <c r="I158" i="3"/>
  <c r="M158" i="3" s="1"/>
  <c r="H158" i="3"/>
  <c r="I150" i="3"/>
  <c r="H150" i="3"/>
  <c r="I149" i="3"/>
  <c r="H149" i="3"/>
  <c r="I148" i="3"/>
  <c r="H148" i="3"/>
  <c r="I147" i="3"/>
  <c r="H147" i="3"/>
  <c r="I146" i="3"/>
  <c r="H146" i="3"/>
  <c r="L145" i="3" s="1"/>
  <c r="L146" i="3" s="1"/>
  <c r="I145" i="3"/>
  <c r="M145" i="3" s="1"/>
  <c r="M146" i="3" s="1"/>
  <c r="H145" i="3"/>
  <c r="I137" i="3"/>
  <c r="M136" i="3" s="1"/>
  <c r="M137" i="3" s="1"/>
  <c r="H137" i="3"/>
  <c r="L136" i="3" s="1"/>
  <c r="L137" i="3" s="1"/>
  <c r="I136" i="3"/>
  <c r="H136" i="3"/>
  <c r="I128" i="3"/>
  <c r="H128" i="3"/>
  <c r="I127" i="3"/>
  <c r="H127" i="3"/>
  <c r="M126" i="3"/>
  <c r="M127" i="3" s="1"/>
  <c r="I126" i="3"/>
  <c r="M128" i="3" s="1"/>
  <c r="H126" i="3"/>
  <c r="L128" i="3" s="1"/>
  <c r="I118" i="3"/>
  <c r="H118" i="3"/>
  <c r="I117" i="3"/>
  <c r="H117" i="3"/>
  <c r="I116" i="3"/>
  <c r="H116" i="3"/>
  <c r="L115" i="3"/>
  <c r="L116" i="3" s="1"/>
  <c r="I115" i="3"/>
  <c r="M117" i="3" s="1"/>
  <c r="H115" i="3"/>
  <c r="L117" i="3" s="1"/>
  <c r="I107" i="3"/>
  <c r="H107" i="3"/>
  <c r="L103" i="3" s="1"/>
  <c r="L104" i="3" s="1"/>
  <c r="I106" i="3"/>
  <c r="H106" i="3"/>
  <c r="I105" i="3"/>
  <c r="H105" i="3"/>
  <c r="I104" i="3"/>
  <c r="H104" i="3"/>
  <c r="I103" i="3"/>
  <c r="M105" i="3" s="1"/>
  <c r="H103" i="3"/>
  <c r="L105" i="3" s="1"/>
  <c r="I95" i="3"/>
  <c r="H95" i="3"/>
  <c r="L91" i="3" s="1"/>
  <c r="L92" i="3" s="1"/>
  <c r="I94" i="3"/>
  <c r="H94" i="3"/>
  <c r="I93" i="3"/>
  <c r="H93" i="3"/>
  <c r="I92" i="3"/>
  <c r="H92" i="3"/>
  <c r="I91" i="3"/>
  <c r="M93" i="3" s="1"/>
  <c r="H91" i="3"/>
  <c r="L93" i="3" s="1"/>
  <c r="I83" i="3"/>
  <c r="H83" i="3"/>
  <c r="I82" i="3"/>
  <c r="H82" i="3"/>
  <c r="I81" i="3"/>
  <c r="H81" i="3"/>
  <c r="I80" i="3"/>
  <c r="H80" i="3"/>
  <c r="I79" i="3"/>
  <c r="H79" i="3"/>
  <c r="I78" i="3"/>
  <c r="M80" i="3" s="1"/>
  <c r="H78" i="3"/>
  <c r="L80" i="3" s="1"/>
  <c r="I70" i="3"/>
  <c r="H70" i="3"/>
  <c r="I69" i="3"/>
  <c r="H69" i="3"/>
  <c r="I68" i="3"/>
  <c r="H68" i="3"/>
  <c r="L70" i="3" s="1"/>
  <c r="I60" i="3"/>
  <c r="H60" i="3"/>
  <c r="I59" i="3"/>
  <c r="H59" i="3"/>
  <c r="I58" i="3"/>
  <c r="H58" i="3"/>
  <c r="I57" i="3"/>
  <c r="H57" i="3"/>
  <c r="I56" i="3"/>
  <c r="H56" i="3"/>
  <c r="I55" i="3"/>
  <c r="M57" i="3" s="1"/>
  <c r="H55" i="3"/>
  <c r="L57" i="3" s="1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F29" i="3"/>
  <c r="F28" i="3"/>
  <c r="F27" i="3"/>
  <c r="F26" i="3"/>
  <c r="F25" i="3"/>
  <c r="F24" i="3"/>
  <c r="F23" i="3"/>
  <c r="F22" i="3"/>
  <c r="F21" i="3"/>
  <c r="J21" i="3" s="1"/>
  <c r="F20" i="3"/>
  <c r="AD45" i="36"/>
  <c r="AD105" i="25"/>
  <c r="Q16" i="36"/>
  <c r="M8" i="29"/>
  <c r="AD125" i="36"/>
  <c r="Q17" i="24"/>
  <c r="AD19" i="37"/>
  <c r="AD15" i="33"/>
  <c r="K16" i="24"/>
  <c r="N25" i="36"/>
  <c r="AD125" i="33"/>
  <c r="AD71" i="24"/>
  <c r="Q16" i="33"/>
  <c r="H25" i="35"/>
  <c r="AD45" i="33"/>
  <c r="Q16" i="24"/>
  <c r="AD125" i="24"/>
  <c r="K9" i="35"/>
  <c r="AD132" i="25"/>
  <c r="K16" i="35"/>
  <c r="K10" i="35"/>
  <c r="AD70" i="28"/>
  <c r="N25" i="24"/>
  <c r="K17" i="24"/>
  <c r="AD72" i="36"/>
  <c r="K17" i="35"/>
  <c r="AD151" i="33"/>
  <c r="N26" i="36"/>
  <c r="K10" i="24"/>
  <c r="H26" i="24"/>
  <c r="AD160" i="25"/>
  <c r="AJ21" i="25"/>
  <c r="Q9" i="36"/>
  <c r="Q17" i="33"/>
  <c r="Q9" i="24"/>
  <c r="M15" i="29"/>
  <c r="AD72" i="37"/>
  <c r="AE151" i="27"/>
  <c r="Q10" i="36"/>
  <c r="H26" i="35"/>
  <c r="N26" i="24"/>
  <c r="N25" i="33"/>
  <c r="G24" i="29"/>
  <c r="N26" i="33"/>
  <c r="M16" i="29"/>
  <c r="M9" i="29"/>
  <c r="AD45" i="24"/>
  <c r="AD15" i="36"/>
  <c r="AD46" i="32"/>
  <c r="K9" i="24"/>
  <c r="Q9" i="33"/>
  <c r="AD252" i="28"/>
  <c r="AE73" i="27"/>
  <c r="H25" i="24"/>
  <c r="Q17" i="36"/>
  <c r="AD187" i="25"/>
  <c r="Q10" i="24"/>
  <c r="Q10" i="33"/>
  <c r="G25" i="29"/>
  <c r="AD262" i="24"/>
  <c r="D6" i="28" a="1"/>
  <c r="D8" i="28" a="1"/>
  <c r="E10" i="32" a="1"/>
  <c r="E7" i="32" a="1"/>
  <c r="E8" i="28" a="1"/>
  <c r="D9" i="28" a="1"/>
  <c r="E10" i="27" a="1"/>
  <c r="T122" i="36" l="1"/>
  <c r="X122" i="36" s="1"/>
  <c r="AA118" i="36"/>
  <c r="W149" i="33"/>
  <c r="W123" i="33"/>
  <c r="AA284" i="24"/>
  <c r="T288" i="24"/>
  <c r="X288" i="24" s="1"/>
  <c r="T149" i="35"/>
  <c r="X149" i="35" s="1"/>
  <c r="AA144" i="35"/>
  <c r="W69" i="24"/>
  <c r="V43" i="36"/>
  <c r="W43" i="36"/>
  <c r="X91" i="33"/>
  <c r="T95" i="33" s="1"/>
  <c r="X95" i="33" s="1"/>
  <c r="V96" i="33"/>
  <c r="T185" i="25"/>
  <c r="X185" i="25" s="1"/>
  <c r="V123" i="33"/>
  <c r="V43" i="37"/>
  <c r="AA65" i="36"/>
  <c r="AA147" i="24"/>
  <c r="X245" i="28"/>
  <c r="AA245" i="28" s="1"/>
  <c r="X44" i="27"/>
  <c r="V149" i="33"/>
  <c r="X118" i="33"/>
  <c r="T123" i="33" s="1"/>
  <c r="X123" i="33" s="1"/>
  <c r="W44" i="27"/>
  <c r="T16" i="37"/>
  <c r="X16" i="37" s="1"/>
  <c r="AA180" i="25"/>
  <c r="V94" i="24"/>
  <c r="T43" i="36"/>
  <c r="X43" i="36" s="1"/>
  <c r="W94" i="24"/>
  <c r="T149" i="33"/>
  <c r="X149" i="33" s="1"/>
  <c r="W70" i="36"/>
  <c r="T42" i="37"/>
  <c r="X42" i="37" s="1"/>
  <c r="V68" i="28"/>
  <c r="V198" i="28"/>
  <c r="AA38" i="37"/>
  <c r="U122" i="27"/>
  <c r="Y122" i="27" s="1"/>
  <c r="V158" i="25"/>
  <c r="W42" i="28"/>
  <c r="W76" i="25"/>
  <c r="AA38" i="36"/>
  <c r="W97" i="32"/>
  <c r="T197" i="28"/>
  <c r="X197" i="28" s="1"/>
  <c r="AB118" i="27"/>
  <c r="V260" i="24"/>
  <c r="AA92" i="32"/>
  <c r="X39" i="32"/>
  <c r="T43" i="32" s="1"/>
  <c r="X43" i="32" s="1"/>
  <c r="V185" i="25"/>
  <c r="W260" i="24"/>
  <c r="W43" i="37"/>
  <c r="V70" i="36"/>
  <c r="T96" i="32"/>
  <c r="X96" i="32" s="1"/>
  <c r="AA12" i="37"/>
  <c r="W185" i="25"/>
  <c r="V203" i="24"/>
  <c r="V43" i="24"/>
  <c r="T70" i="36"/>
  <c r="X70" i="36" s="1"/>
  <c r="W158" i="25"/>
  <c r="W198" i="28"/>
  <c r="W203" i="24"/>
  <c r="AA255" i="24"/>
  <c r="AA89" i="24"/>
  <c r="T94" i="24"/>
  <c r="X94" i="24" s="1"/>
  <c r="T43" i="24"/>
  <c r="X43" i="24" s="1"/>
  <c r="W43" i="24"/>
  <c r="W233" i="24"/>
  <c r="V120" i="28"/>
  <c r="AA38" i="24"/>
  <c r="T152" i="24"/>
  <c r="X152" i="24" s="1"/>
  <c r="V149" i="35"/>
  <c r="T198" i="28"/>
  <c r="X198" i="28" s="1"/>
  <c r="AA125" i="25"/>
  <c r="X63" i="28"/>
  <c r="AA63" i="28" s="1"/>
  <c r="T148" i="33"/>
  <c r="X148" i="33" s="1"/>
  <c r="T129" i="25"/>
  <c r="X129" i="25" s="1"/>
  <c r="W149" i="35"/>
  <c r="T260" i="24"/>
  <c r="X260" i="24" s="1"/>
  <c r="W96" i="36"/>
  <c r="AD253" i="28"/>
  <c r="AD46" i="24"/>
  <c r="AD48" i="24" s="1"/>
  <c r="AE48" i="24" s="1"/>
  <c r="AE152" i="27"/>
  <c r="AE153" i="27" s="1"/>
  <c r="AD46" i="33"/>
  <c r="AD106" i="25"/>
  <c r="AD108" i="25" s="1"/>
  <c r="AE108" i="25" s="1"/>
  <c r="AD46" i="36"/>
  <c r="AD47" i="36" s="1"/>
  <c r="AD220" i="28"/>
  <c r="AD221" i="28" s="1"/>
  <c r="AD44" i="25"/>
  <c r="AD45" i="25" s="1"/>
  <c r="X115" i="28"/>
  <c r="AD67" i="32"/>
  <c r="AD68" i="32" s="1"/>
  <c r="V233" i="24"/>
  <c r="AD194" i="28"/>
  <c r="AD195" i="28" s="1"/>
  <c r="AD199" i="24"/>
  <c r="AD200" i="24" s="1"/>
  <c r="U70" i="27"/>
  <c r="Y70" i="27" s="1"/>
  <c r="X228" i="24"/>
  <c r="T233" i="24" s="1"/>
  <c r="X233" i="24" s="1"/>
  <c r="V96" i="36"/>
  <c r="AD38" i="28"/>
  <c r="AD39" i="28" s="1"/>
  <c r="AD92" i="36"/>
  <c r="AD93" i="36" s="1"/>
  <c r="V42" i="28"/>
  <c r="U71" i="27"/>
  <c r="Y71" i="27" s="1"/>
  <c r="AD66" i="33"/>
  <c r="AD67" i="33" s="1"/>
  <c r="AD142" i="28"/>
  <c r="AD143" i="28" s="1"/>
  <c r="AD92" i="33"/>
  <c r="AD93" i="33" s="1"/>
  <c r="W44" i="32"/>
  <c r="AD39" i="37"/>
  <c r="AD40" i="37" s="1"/>
  <c r="AD148" i="24"/>
  <c r="AD149" i="24" s="1"/>
  <c r="AE40" i="27"/>
  <c r="AE41" i="27" s="1"/>
  <c r="AE119" i="27"/>
  <c r="AE120" i="27" s="1"/>
  <c r="AD145" i="35"/>
  <c r="AD146" i="35" s="1"/>
  <c r="X167" i="28"/>
  <c r="T171" i="28" s="1"/>
  <c r="X171" i="28" s="1"/>
  <c r="W70" i="37"/>
  <c r="X65" i="37"/>
  <c r="AB92" i="27"/>
  <c r="U97" i="27"/>
  <c r="Y97" i="27" s="1"/>
  <c r="W172" i="28"/>
  <c r="W179" i="24"/>
  <c r="V179" i="24"/>
  <c r="X174" i="24"/>
  <c r="T96" i="36"/>
  <c r="X96" i="36" s="1"/>
  <c r="AA91" i="36"/>
  <c r="T158" i="25"/>
  <c r="X158" i="25" s="1"/>
  <c r="T157" i="25"/>
  <c r="X157" i="25" s="1"/>
  <c r="AA153" i="25"/>
  <c r="T69" i="33"/>
  <c r="X69" i="33" s="1"/>
  <c r="AA65" i="33"/>
  <c r="U149" i="27"/>
  <c r="Y149" i="27" s="1"/>
  <c r="U148" i="27"/>
  <c r="Y148" i="27" s="1"/>
  <c r="U43" i="27"/>
  <c r="Y43" i="27" s="1"/>
  <c r="AB39" i="27"/>
  <c r="T122" i="33"/>
  <c r="X122" i="33" s="1"/>
  <c r="AD99" i="28"/>
  <c r="AE99" i="28" s="1"/>
  <c r="AD238" i="24"/>
  <c r="AE238" i="24" s="1"/>
  <c r="AE101" i="27"/>
  <c r="V69" i="24"/>
  <c r="AD177" i="28"/>
  <c r="AE177" i="28" s="1"/>
  <c r="AD125" i="28"/>
  <c r="AE125" i="28" s="1"/>
  <c r="AD102" i="32"/>
  <c r="AE102" i="32" s="1"/>
  <c r="AD81" i="25"/>
  <c r="AE81" i="25" s="1"/>
  <c r="AD107" i="25"/>
  <c r="AD293" i="24"/>
  <c r="AD183" i="24"/>
  <c r="AD184" i="24"/>
  <c r="AE184" i="24" s="1"/>
  <c r="AE74" i="27"/>
  <c r="AD20" i="37"/>
  <c r="AD263" i="24"/>
  <c r="AD126" i="36"/>
  <c r="AD161" i="25"/>
  <c r="AD47" i="32"/>
  <c r="AD188" i="25"/>
  <c r="AD126" i="33"/>
  <c r="AD126" i="24"/>
  <c r="AD73" i="37"/>
  <c r="AD71" i="28"/>
  <c r="AD72" i="24"/>
  <c r="AD133" i="25"/>
  <c r="AD152" i="33"/>
  <c r="AD73" i="36"/>
  <c r="AA89" i="28"/>
  <c r="T94" i="28"/>
  <c r="X94" i="28" s="1"/>
  <c r="T93" i="28"/>
  <c r="X93" i="28" s="1"/>
  <c r="T276" i="28"/>
  <c r="X276" i="28" s="1"/>
  <c r="T275" i="28"/>
  <c r="X275" i="28" s="1"/>
  <c r="AA271" i="28"/>
  <c r="V76" i="25"/>
  <c r="T76" i="25"/>
  <c r="X76" i="25" s="1"/>
  <c r="T75" i="25"/>
  <c r="X75" i="25" s="1"/>
  <c r="AA71" i="25"/>
  <c r="T42" i="33"/>
  <c r="X42" i="33" s="1"/>
  <c r="AA38" i="33"/>
  <c r="T43" i="33"/>
  <c r="X43" i="33" s="1"/>
  <c r="T123" i="24"/>
  <c r="X123" i="24" s="1"/>
  <c r="AA118" i="24"/>
  <c r="T122" i="24"/>
  <c r="X122" i="24" s="1"/>
  <c r="AA64" i="24"/>
  <c r="T68" i="24"/>
  <c r="X68" i="24" s="1"/>
  <c r="T69" i="24"/>
  <c r="X69" i="24" s="1"/>
  <c r="T103" i="25"/>
  <c r="X103" i="25" s="1"/>
  <c r="T102" i="25"/>
  <c r="X102" i="25" s="1"/>
  <c r="AA98" i="25"/>
  <c r="T203" i="24"/>
  <c r="X203" i="24" s="1"/>
  <c r="AA198" i="24"/>
  <c r="T202" i="24"/>
  <c r="X202" i="24" s="1"/>
  <c r="AA141" i="28"/>
  <c r="T145" i="28"/>
  <c r="X145" i="28" s="1"/>
  <c r="T146" i="28"/>
  <c r="X146" i="28" s="1"/>
  <c r="T48" i="25"/>
  <c r="X48" i="25" s="1"/>
  <c r="T47" i="25"/>
  <c r="X47" i="25" s="1"/>
  <c r="AA43" i="25"/>
  <c r="T42" i="28"/>
  <c r="X42" i="28" s="1"/>
  <c r="AA37" i="28"/>
  <c r="T41" i="28"/>
  <c r="X41" i="28" s="1"/>
  <c r="V123" i="36"/>
  <c r="AA219" i="28"/>
  <c r="T224" i="28"/>
  <c r="X224" i="28" s="1"/>
  <c r="T223" i="28"/>
  <c r="X223" i="28" s="1"/>
  <c r="AD21" i="39"/>
  <c r="AD22" i="39"/>
  <c r="AE22" i="39" s="1"/>
  <c r="W17" i="39"/>
  <c r="X12" i="39"/>
  <c r="T17" i="39" s="1"/>
  <c r="X17" i="39" s="1"/>
  <c r="V17" i="39"/>
  <c r="AD11" i="33"/>
  <c r="V12" i="36" a="1"/>
  <c r="V12" i="36" s="1"/>
  <c r="K9" i="25"/>
  <c r="T14" i="25" a="1"/>
  <c r="T14" i="25" s="1"/>
  <c r="T8" i="25" s="1"/>
  <c r="V12" i="33" a="1"/>
  <c r="V12" i="33" s="1"/>
  <c r="H15" i="25"/>
  <c r="AC10" i="25"/>
  <c r="AD10" i="25" s="1"/>
  <c r="Z15" i="25" s="1"/>
  <c r="AD15" i="25" s="1"/>
  <c r="T9" i="25"/>
  <c r="Q12" i="36"/>
  <c r="Q19" i="36"/>
  <c r="Q19" i="24"/>
  <c r="Q12" i="24"/>
  <c r="K12" i="35"/>
  <c r="K19" i="35"/>
  <c r="Q19" i="33"/>
  <c r="Q12" i="33"/>
  <c r="M18" i="29"/>
  <c r="M11" i="29"/>
  <c r="AK21" i="25"/>
  <c r="K19" i="24"/>
  <c r="K12" i="24"/>
  <c r="AD18" i="36"/>
  <c r="K14" i="25" a="1"/>
  <c r="K14" i="25" s="1"/>
  <c r="G17" i="26"/>
  <c r="AD18" i="33"/>
  <c r="AD13" i="33" s="1"/>
  <c r="AD14" i="33" s="1"/>
  <c r="N19" i="36"/>
  <c r="T11" i="36"/>
  <c r="T12" i="36" s="1"/>
  <c r="Y12" i="36" s="1"/>
  <c r="N13" i="36"/>
  <c r="N21" i="36"/>
  <c r="N11" i="36"/>
  <c r="N23" i="36"/>
  <c r="AE9" i="36"/>
  <c r="N12" i="36"/>
  <c r="N15" i="36"/>
  <c r="N20" i="36"/>
  <c r="N18" i="36"/>
  <c r="N14" i="36"/>
  <c r="N24" i="36"/>
  <c r="V11" i="36"/>
  <c r="N22" i="36"/>
  <c r="N9" i="36"/>
  <c r="N10" i="36"/>
  <c r="N16" i="36"/>
  <c r="U11" i="36"/>
  <c r="U12" i="36" s="1"/>
  <c r="N14" i="24"/>
  <c r="N10" i="24"/>
  <c r="N24" i="24"/>
  <c r="N22" i="24"/>
  <c r="N16" i="24"/>
  <c r="N11" i="24"/>
  <c r="N19" i="24"/>
  <c r="N23" i="24"/>
  <c r="N9" i="24"/>
  <c r="N15" i="24"/>
  <c r="N13" i="24"/>
  <c r="N21" i="24"/>
  <c r="N12" i="24"/>
  <c r="N18" i="24"/>
  <c r="N20" i="24"/>
  <c r="H17" i="36"/>
  <c r="H22" i="35"/>
  <c r="H23" i="35"/>
  <c r="H9" i="35"/>
  <c r="H13" i="35"/>
  <c r="H15" i="35"/>
  <c r="H12" i="35"/>
  <c r="H10" i="35"/>
  <c r="H14" i="35"/>
  <c r="H20" i="35"/>
  <c r="H18" i="35"/>
  <c r="H16" i="35"/>
  <c r="H11" i="35"/>
  <c r="H24" i="35"/>
  <c r="H21" i="35"/>
  <c r="H19" i="35"/>
  <c r="AD11" i="36"/>
  <c r="AA14" i="25"/>
  <c r="AA15" i="25"/>
  <c r="N23" i="33"/>
  <c r="N22" i="33"/>
  <c r="N21" i="33"/>
  <c r="N20" i="33"/>
  <c r="AE9" i="33"/>
  <c r="N18" i="33"/>
  <c r="N19" i="33"/>
  <c r="N16" i="33"/>
  <c r="V11" i="33"/>
  <c r="N15" i="33"/>
  <c r="U11" i="33"/>
  <c r="N14" i="33"/>
  <c r="T11" i="33"/>
  <c r="T12" i="33" s="1"/>
  <c r="Y12" i="33" s="1"/>
  <c r="N13" i="33"/>
  <c r="N12" i="33"/>
  <c r="N11" i="33"/>
  <c r="N10" i="33"/>
  <c r="N9" i="33"/>
  <c r="N24" i="33"/>
  <c r="K10" i="25"/>
  <c r="K18" i="25" a="1"/>
  <c r="K18" i="25" s="1"/>
  <c r="K11" i="25" s="1"/>
  <c r="G23" i="29"/>
  <c r="G22" i="29"/>
  <c r="G21" i="29"/>
  <c r="G19" i="29"/>
  <c r="G18" i="29"/>
  <c r="G12" i="29"/>
  <c r="G17" i="29"/>
  <c r="G15" i="29"/>
  <c r="G11" i="29"/>
  <c r="G14" i="29"/>
  <c r="G13" i="29"/>
  <c r="J20" i="29"/>
  <c r="G10" i="29"/>
  <c r="J18" i="29"/>
  <c r="G9" i="29"/>
  <c r="G20" i="29"/>
  <c r="J17" i="29"/>
  <c r="G8" i="29"/>
  <c r="J16" i="29"/>
  <c r="AA10" i="25"/>
  <c r="AF10" i="25"/>
  <c r="AJ16" i="25"/>
  <c r="H17" i="33"/>
  <c r="H10" i="24"/>
  <c r="H23" i="24"/>
  <c r="H13" i="24"/>
  <c r="H9" i="24"/>
  <c r="H12" i="24"/>
  <c r="H15" i="24"/>
  <c r="H14" i="24"/>
  <c r="H18" i="24"/>
  <c r="H20" i="24"/>
  <c r="H24" i="24"/>
  <c r="H11" i="24"/>
  <c r="H21" i="24"/>
  <c r="H16" i="24"/>
  <c r="H19" i="24"/>
  <c r="H22" i="24"/>
  <c r="Q15" i="25"/>
  <c r="T18" i="25" a="1"/>
  <c r="T18" i="25" s="1"/>
  <c r="T11" i="25" s="1"/>
  <c r="T10" i="25"/>
  <c r="E10" i="32"/>
  <c r="M69" i="6"/>
  <c r="M68" i="5"/>
  <c r="L70" i="5"/>
  <c r="M70" i="3"/>
  <c r="E7" i="32"/>
  <c r="M69" i="4"/>
  <c r="M38" i="6"/>
  <c r="M39" i="6" s="1"/>
  <c r="D9" i="28"/>
  <c r="L39" i="6"/>
  <c r="M40" i="6"/>
  <c r="E8" i="28"/>
  <c r="M39" i="5"/>
  <c r="D8" i="28"/>
  <c r="L39" i="5"/>
  <c r="M40" i="5"/>
  <c r="M38" i="3"/>
  <c r="M39" i="3" s="1"/>
  <c r="L38" i="3"/>
  <c r="M38" i="4"/>
  <c r="D6" i="28"/>
  <c r="L39" i="4"/>
  <c r="M39" i="4"/>
  <c r="M57" i="5"/>
  <c r="L55" i="3"/>
  <c r="M57" i="4"/>
  <c r="L57" i="4"/>
  <c r="E10" i="27"/>
  <c r="L56" i="6"/>
  <c r="L57" i="6"/>
  <c r="L57" i="5"/>
  <c r="L55" i="5"/>
  <c r="L56" i="5" s="1"/>
  <c r="L56" i="3"/>
  <c r="M158" i="6"/>
  <c r="M159" i="3"/>
  <c r="M158" i="4"/>
  <c r="M158" i="5"/>
  <c r="M159" i="5" s="1"/>
  <c r="L40" i="6"/>
  <c r="L78" i="6"/>
  <c r="L79" i="6" s="1"/>
  <c r="L126" i="6"/>
  <c r="L127" i="6" s="1"/>
  <c r="M78" i="6"/>
  <c r="M79" i="6" s="1"/>
  <c r="M126" i="6"/>
  <c r="M127" i="6" s="1"/>
  <c r="M55" i="6"/>
  <c r="M91" i="6"/>
  <c r="M92" i="6" s="1"/>
  <c r="M103" i="6"/>
  <c r="M104" i="6" s="1"/>
  <c r="M115" i="6"/>
  <c r="M116" i="6" s="1"/>
  <c r="L68" i="6"/>
  <c r="J19" i="6"/>
  <c r="J20" i="6" s="1"/>
  <c r="L40" i="5"/>
  <c r="M55" i="5"/>
  <c r="M91" i="5"/>
  <c r="M92" i="5" s="1"/>
  <c r="M103" i="5"/>
  <c r="M104" i="5" s="1"/>
  <c r="M115" i="5"/>
  <c r="M116" i="5" s="1"/>
  <c r="M138" i="5"/>
  <c r="L68" i="5"/>
  <c r="M70" i="4"/>
  <c r="L115" i="4"/>
  <c r="L116" i="4" s="1"/>
  <c r="L138" i="4"/>
  <c r="M138" i="4"/>
  <c r="L55" i="4"/>
  <c r="L91" i="4"/>
  <c r="L92" i="4" s="1"/>
  <c r="L103" i="4"/>
  <c r="L104" i="4" s="1"/>
  <c r="M55" i="4"/>
  <c r="M91" i="4"/>
  <c r="M92" i="4" s="1"/>
  <c r="M103" i="4"/>
  <c r="M104" i="4" s="1"/>
  <c r="M115" i="4"/>
  <c r="M116" i="4" s="1"/>
  <c r="L68" i="4"/>
  <c r="L40" i="3"/>
  <c r="L78" i="3"/>
  <c r="L79" i="3" s="1"/>
  <c r="L126" i="3"/>
  <c r="L127" i="3" s="1"/>
  <c r="M138" i="3"/>
  <c r="L68" i="3"/>
  <c r="M78" i="3"/>
  <c r="M79" i="3" s="1"/>
  <c r="L138" i="3"/>
  <c r="M103" i="3"/>
  <c r="M104" i="3" s="1"/>
  <c r="M68" i="3"/>
  <c r="M40" i="3"/>
  <c r="M55" i="3"/>
  <c r="M115" i="3"/>
  <c r="M116" i="3" s="1"/>
  <c r="M91" i="3"/>
  <c r="M92" i="3" s="1"/>
  <c r="J19" i="3"/>
  <c r="J20" i="3" s="1"/>
  <c r="AD96" i="24"/>
  <c r="AD72" i="33"/>
  <c r="AD200" i="28"/>
  <c r="AE125" i="27"/>
  <c r="AD151" i="35"/>
  <c r="AD205" i="24"/>
  <c r="AD148" i="28"/>
  <c r="AD98" i="33"/>
  <c r="AD226" i="28"/>
  <c r="AD50" i="25"/>
  <c r="AD44" i="28"/>
  <c r="AD45" i="37"/>
  <c r="AD278" i="28"/>
  <c r="AD98" i="36"/>
  <c r="AD154" i="24"/>
  <c r="AD23" i="36"/>
  <c r="AD73" i="32"/>
  <c r="AE46" i="27"/>
  <c r="AD23" i="33"/>
  <c r="AD19" i="36"/>
  <c r="AJ17" i="25"/>
  <c r="D7" i="32" a="1"/>
  <c r="E8" i="32" a="1"/>
  <c r="D10" i="32" a="1"/>
  <c r="D7" i="28" a="1"/>
  <c r="D9" i="32" a="1"/>
  <c r="E7" i="27" a="1"/>
  <c r="E9" i="27" a="1"/>
  <c r="F8" i="27" a="1"/>
  <c r="D8" i="32" a="1"/>
  <c r="E6" i="28" a="1"/>
  <c r="E7" i="28" a="1"/>
  <c r="F7" i="27" a="1"/>
  <c r="E9" i="32" a="1"/>
  <c r="E9" i="28" a="1"/>
  <c r="E8" i="27" a="1"/>
  <c r="F9" i="27" a="1"/>
  <c r="F10" i="27" a="1"/>
  <c r="T249" i="28" l="1"/>
  <c r="X249" i="28" s="1"/>
  <c r="T250" i="28"/>
  <c r="X250" i="28" s="1"/>
  <c r="T96" i="33"/>
  <c r="X96" i="33" s="1"/>
  <c r="AA91" i="33"/>
  <c r="AA118" i="33"/>
  <c r="AA39" i="32"/>
  <c r="T67" i="28"/>
  <c r="X67" i="28" s="1"/>
  <c r="AA228" i="24"/>
  <c r="T232" i="24"/>
  <c r="X232" i="24" s="1"/>
  <c r="T44" i="32"/>
  <c r="X44" i="32" s="1"/>
  <c r="T68" i="28"/>
  <c r="X68" i="28" s="1"/>
  <c r="AD48" i="36"/>
  <c r="AE48" i="36" s="1"/>
  <c r="AE47" i="27"/>
  <c r="AD74" i="32"/>
  <c r="AD155" i="24"/>
  <c r="AD99" i="36"/>
  <c r="AD279" i="28"/>
  <c r="AD46" i="37"/>
  <c r="AD45" i="28"/>
  <c r="AD51" i="25"/>
  <c r="AD227" i="28"/>
  <c r="AD99" i="33"/>
  <c r="AD149" i="28"/>
  <c r="AD206" i="24"/>
  <c r="AD152" i="35"/>
  <c r="AE126" i="27"/>
  <c r="AD201" i="28"/>
  <c r="AD73" i="33"/>
  <c r="AD97" i="24"/>
  <c r="AA115" i="28"/>
  <c r="T119" i="28"/>
  <c r="X119" i="28" s="1"/>
  <c r="T120" i="28"/>
  <c r="X120" i="28" s="1"/>
  <c r="AD47" i="24"/>
  <c r="AE154" i="27"/>
  <c r="AF154" i="27" s="1"/>
  <c r="AD47" i="33"/>
  <c r="AD48" i="33"/>
  <c r="AE48" i="33" s="1"/>
  <c r="AD255" i="28"/>
  <c r="AE255" i="28" s="1"/>
  <c r="AD254" i="28"/>
  <c r="T172" i="28"/>
  <c r="X172" i="28" s="1"/>
  <c r="AA167" i="28"/>
  <c r="T70" i="37"/>
  <c r="X70" i="37" s="1"/>
  <c r="AA65" i="37"/>
  <c r="T69" i="37"/>
  <c r="X69" i="37" s="1"/>
  <c r="T178" i="24"/>
  <c r="X178" i="24" s="1"/>
  <c r="T179" i="24"/>
  <c r="X179" i="24" s="1"/>
  <c r="AA174" i="24"/>
  <c r="AD265" i="24"/>
  <c r="AE265" i="24" s="1"/>
  <c r="AD264" i="24"/>
  <c r="AD74" i="36"/>
  <c r="AD75" i="36"/>
  <c r="AE75" i="36" s="1"/>
  <c r="AD154" i="33"/>
  <c r="AE154" i="33" s="1"/>
  <c r="AD153" i="33"/>
  <c r="AD134" i="25"/>
  <c r="AD135" i="25"/>
  <c r="AE135" i="25" s="1"/>
  <c r="AD74" i="24"/>
  <c r="AE74" i="24" s="1"/>
  <c r="AD73" i="24"/>
  <c r="AD74" i="37"/>
  <c r="AD75" i="37"/>
  <c r="AE75" i="37" s="1"/>
  <c r="AD72" i="28"/>
  <c r="AD73" i="28"/>
  <c r="AE73" i="28" s="1"/>
  <c r="AD128" i="24"/>
  <c r="AE128" i="24" s="1"/>
  <c r="AD127" i="24"/>
  <c r="AD127" i="33"/>
  <c r="AD128" i="33"/>
  <c r="AE128" i="33" s="1"/>
  <c r="AD189" i="25"/>
  <c r="AD190" i="25"/>
  <c r="AE190" i="25" s="1"/>
  <c r="AD48" i="32"/>
  <c r="AD49" i="32"/>
  <c r="AE49" i="32" s="1"/>
  <c r="AD163" i="25"/>
  <c r="AE163" i="25" s="1"/>
  <c r="AD162" i="25"/>
  <c r="AD127" i="36"/>
  <c r="AD128" i="36"/>
  <c r="AE128" i="36" s="1"/>
  <c r="AD22" i="37"/>
  <c r="AE22" i="37" s="1"/>
  <c r="AD21" i="37"/>
  <c r="AE75" i="27"/>
  <c r="AE76" i="27"/>
  <c r="AF76" i="27" s="1"/>
  <c r="AE23" i="36"/>
  <c r="AE23" i="33"/>
  <c r="AA12" i="39"/>
  <c r="T16" i="39"/>
  <c r="X16" i="39" s="1"/>
  <c r="AC15" i="25"/>
  <c r="Z14" i="25"/>
  <c r="AD14" i="25" s="1"/>
  <c r="Z12" i="33"/>
  <c r="N17" i="36"/>
  <c r="T21" i="25"/>
  <c r="T12" i="25" s="1"/>
  <c r="Z12" i="36"/>
  <c r="J15" i="29" a="1"/>
  <c r="J15" i="29" s="1"/>
  <c r="J9" i="29" s="1"/>
  <c r="AG10" i="25"/>
  <c r="N17" i="33"/>
  <c r="H17" i="35"/>
  <c r="K8" i="25"/>
  <c r="K21" i="25"/>
  <c r="K12" i="25" s="1"/>
  <c r="AJ18" i="25"/>
  <c r="AJ11" i="25"/>
  <c r="AJ12" i="25" s="1"/>
  <c r="U16" i="33"/>
  <c r="U17" i="33"/>
  <c r="AB15" i="25"/>
  <c r="G16" i="29"/>
  <c r="U12" i="33"/>
  <c r="H17" i="24"/>
  <c r="W12" i="36"/>
  <c r="N17" i="24"/>
  <c r="W12" i="33"/>
  <c r="X12" i="33" s="1"/>
  <c r="AD20" i="36"/>
  <c r="AD13" i="36"/>
  <c r="AD14" i="36" s="1"/>
  <c r="J10" i="29"/>
  <c r="U17" i="36"/>
  <c r="U16" i="36"/>
  <c r="J11" i="29"/>
  <c r="J19" i="29" a="1"/>
  <c r="J19" i="29" s="1"/>
  <c r="J12" i="29" s="1"/>
  <c r="D10" i="32"/>
  <c r="L69" i="6"/>
  <c r="E9" i="32"/>
  <c r="M69" i="5"/>
  <c r="D9" i="32"/>
  <c r="L69" i="5"/>
  <c r="E8" i="32"/>
  <c r="M69" i="3"/>
  <c r="D8" i="32"/>
  <c r="L69" i="3"/>
  <c r="D7" i="32"/>
  <c r="L69" i="4"/>
  <c r="E9" i="28"/>
  <c r="E7" i="28"/>
  <c r="D7" i="28"/>
  <c r="L39" i="3"/>
  <c r="E6" i="28"/>
  <c r="F10" i="27"/>
  <c r="M56" i="6"/>
  <c r="F9" i="27"/>
  <c r="M56" i="5"/>
  <c r="F8" i="27"/>
  <c r="M56" i="3"/>
  <c r="E8" i="27"/>
  <c r="F7" i="27"/>
  <c r="M56" i="4"/>
  <c r="E9" i="27"/>
  <c r="E7" i="27"/>
  <c r="L56" i="4"/>
  <c r="M159" i="6"/>
  <c r="M159" i="4"/>
  <c r="F177" i="2"/>
  <c r="F178" i="2" s="1"/>
  <c r="F176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M158" i="2" s="1"/>
  <c r="H158" i="2"/>
  <c r="L158" i="2" s="1"/>
  <c r="I150" i="2"/>
  <c r="H150" i="2"/>
  <c r="I149" i="2"/>
  <c r="H149" i="2"/>
  <c r="I148" i="2"/>
  <c r="H148" i="2"/>
  <c r="I147" i="2"/>
  <c r="M145" i="2" s="1"/>
  <c r="M146" i="2" s="1"/>
  <c r="H147" i="2"/>
  <c r="I146" i="2"/>
  <c r="H146" i="2"/>
  <c r="L145" i="2"/>
  <c r="L146" i="2" s="1"/>
  <c r="I145" i="2"/>
  <c r="H145" i="2"/>
  <c r="I137" i="2"/>
  <c r="H137" i="2"/>
  <c r="L138" i="2" s="1"/>
  <c r="L136" i="2"/>
  <c r="L137" i="2" s="1"/>
  <c r="I136" i="2"/>
  <c r="M136" i="2" s="1"/>
  <c r="M137" i="2" s="1"/>
  <c r="H136" i="2"/>
  <c r="I128" i="2"/>
  <c r="H128" i="2"/>
  <c r="I127" i="2"/>
  <c r="H127" i="2"/>
  <c r="I126" i="2"/>
  <c r="M128" i="2" s="1"/>
  <c r="H126" i="2"/>
  <c r="L128" i="2" s="1"/>
  <c r="I118" i="2"/>
  <c r="H118" i="2"/>
  <c r="M117" i="2"/>
  <c r="I117" i="2"/>
  <c r="H117" i="2"/>
  <c r="I116" i="2"/>
  <c r="H116" i="2"/>
  <c r="I115" i="2"/>
  <c r="M115" i="2" s="1"/>
  <c r="M116" i="2" s="1"/>
  <c r="H115" i="2"/>
  <c r="L117" i="2" s="1"/>
  <c r="I107" i="2"/>
  <c r="H107" i="2"/>
  <c r="I106" i="2"/>
  <c r="H106" i="2"/>
  <c r="M105" i="2"/>
  <c r="I105" i="2"/>
  <c r="H105" i="2"/>
  <c r="I104" i="2"/>
  <c r="H104" i="2"/>
  <c r="I103" i="2"/>
  <c r="M103" i="2" s="1"/>
  <c r="M104" i="2" s="1"/>
  <c r="H103" i="2"/>
  <c r="L105" i="2" s="1"/>
  <c r="I95" i="2"/>
  <c r="H95" i="2"/>
  <c r="I94" i="2"/>
  <c r="H94" i="2"/>
  <c r="M93" i="2"/>
  <c r="I93" i="2"/>
  <c r="H93" i="2"/>
  <c r="I92" i="2"/>
  <c r="H92" i="2"/>
  <c r="I91" i="2"/>
  <c r="M91" i="2" s="1"/>
  <c r="M92" i="2" s="1"/>
  <c r="H91" i="2"/>
  <c r="L93" i="2" s="1"/>
  <c r="I83" i="2"/>
  <c r="H83" i="2"/>
  <c r="I82" i="2"/>
  <c r="H82" i="2"/>
  <c r="I81" i="2"/>
  <c r="H81" i="2"/>
  <c r="I80" i="2"/>
  <c r="H80" i="2"/>
  <c r="I79" i="2"/>
  <c r="H79" i="2"/>
  <c r="I78" i="2"/>
  <c r="M80" i="2" s="1"/>
  <c r="H78" i="2"/>
  <c r="L80" i="2" s="1"/>
  <c r="L70" i="2"/>
  <c r="I70" i="2"/>
  <c r="M70" i="2" s="1"/>
  <c r="H70" i="2"/>
  <c r="I69" i="2"/>
  <c r="H69" i="2"/>
  <c r="I68" i="2"/>
  <c r="M68" i="2" s="1"/>
  <c r="H68" i="2"/>
  <c r="L68" i="2" s="1"/>
  <c r="I60" i="2"/>
  <c r="H60" i="2"/>
  <c r="I59" i="2"/>
  <c r="H59" i="2"/>
  <c r="I58" i="2"/>
  <c r="H58" i="2"/>
  <c r="I57" i="2"/>
  <c r="H57" i="2"/>
  <c r="I56" i="2"/>
  <c r="H56" i="2"/>
  <c r="I55" i="2"/>
  <c r="H55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F29" i="2"/>
  <c r="F28" i="2"/>
  <c r="F27" i="2"/>
  <c r="F26" i="2"/>
  <c r="F25" i="2"/>
  <c r="F24" i="2"/>
  <c r="F23" i="2"/>
  <c r="F22" i="2"/>
  <c r="F21" i="2"/>
  <c r="J19" i="2" s="1"/>
  <c r="J20" i="2" s="1"/>
  <c r="F20" i="2"/>
  <c r="AD19" i="33"/>
  <c r="D6" i="32" a="1"/>
  <c r="E6" i="32" a="1"/>
  <c r="AD74" i="33" l="1"/>
  <c r="AD75" i="33"/>
  <c r="AE75" i="33" s="1"/>
  <c r="AD203" i="28"/>
  <c r="AE203" i="28" s="1"/>
  <c r="AD202" i="28"/>
  <c r="AE128" i="27"/>
  <c r="AF128" i="27" s="1"/>
  <c r="AE127" i="27"/>
  <c r="AE48" i="27"/>
  <c r="AE49" i="27"/>
  <c r="AF49" i="27" s="1"/>
  <c r="AD154" i="35"/>
  <c r="AE154" i="35" s="1"/>
  <c r="AD153" i="35"/>
  <c r="AD151" i="28"/>
  <c r="AE151" i="28" s="1"/>
  <c r="AD150" i="28"/>
  <c r="AD101" i="36"/>
  <c r="AE101" i="36" s="1"/>
  <c r="AD100" i="36"/>
  <c r="AD228" i="28"/>
  <c r="AD229" i="28"/>
  <c r="AE229" i="28" s="1"/>
  <c r="AD52" i="25"/>
  <c r="AD53" i="25"/>
  <c r="AE53" i="25" s="1"/>
  <c r="AD46" i="28"/>
  <c r="AD47" i="28"/>
  <c r="AE47" i="28" s="1"/>
  <c r="AD208" i="24"/>
  <c r="AE208" i="24" s="1"/>
  <c r="AD207" i="24"/>
  <c r="AD101" i="33"/>
  <c r="AE101" i="33" s="1"/>
  <c r="AD100" i="33"/>
  <c r="AD98" i="24"/>
  <c r="AD99" i="24"/>
  <c r="AE99" i="24" s="1"/>
  <c r="AD48" i="37"/>
  <c r="AE48" i="37" s="1"/>
  <c r="AD47" i="37"/>
  <c r="AD280" i="28"/>
  <c r="AD281" i="28"/>
  <c r="AE281" i="28" s="1"/>
  <c r="AD156" i="24"/>
  <c r="AD157" i="24"/>
  <c r="AE157" i="24" s="1"/>
  <c r="AD75" i="32"/>
  <c r="AD76" i="32"/>
  <c r="AE76" i="32" s="1"/>
  <c r="AD20" i="33"/>
  <c r="AD22" i="33" s="1"/>
  <c r="AE22" i="33" s="1"/>
  <c r="T7" i="25"/>
  <c r="J22" i="29"/>
  <c r="J8" i="29" s="1"/>
  <c r="W17" i="33"/>
  <c r="AJ19" i="25"/>
  <c r="AJ20" i="25"/>
  <c r="AK20" i="25" s="1"/>
  <c r="T17" i="33"/>
  <c r="X17" i="33" s="1"/>
  <c r="AA12" i="33"/>
  <c r="T16" i="33"/>
  <c r="X16" i="33" s="1"/>
  <c r="V17" i="33"/>
  <c r="W17" i="36"/>
  <c r="V17" i="36"/>
  <c r="X12" i="36"/>
  <c r="K7" i="25"/>
  <c r="AD21" i="36"/>
  <c r="AD22" i="36"/>
  <c r="AE22" i="36" s="1"/>
  <c r="E6" i="32"/>
  <c r="M69" i="2"/>
  <c r="D6" i="32"/>
  <c r="L69" i="2"/>
  <c r="M38" i="2"/>
  <c r="M39" i="2"/>
  <c r="L38" i="2"/>
  <c r="L39" i="2" s="1"/>
  <c r="M40" i="2"/>
  <c r="M57" i="2"/>
  <c r="M55" i="2"/>
  <c r="M56" i="2" s="1"/>
  <c r="L57" i="2"/>
  <c r="M159" i="2"/>
  <c r="J21" i="2"/>
  <c r="L78" i="2"/>
  <c r="L79" i="2" s="1"/>
  <c r="L126" i="2"/>
  <c r="L127" i="2" s="1"/>
  <c r="L115" i="2"/>
  <c r="L116" i="2" s="1"/>
  <c r="M138" i="2"/>
  <c r="L40" i="2"/>
  <c r="M78" i="2"/>
  <c r="M79" i="2" s="1"/>
  <c r="M126" i="2"/>
  <c r="M127" i="2" s="1"/>
  <c r="L91" i="2"/>
  <c r="L92" i="2" s="1"/>
  <c r="L55" i="2"/>
  <c r="L103" i="2"/>
  <c r="L104" i="2" s="1"/>
  <c r="N25" i="32"/>
  <c r="H25" i="32"/>
  <c r="H26" i="32"/>
  <c r="Q17" i="32"/>
  <c r="AD15" i="32"/>
  <c r="K16" i="32"/>
  <c r="K9" i="32"/>
  <c r="Q10" i="32"/>
  <c r="N26" i="32"/>
  <c r="Q16" i="32"/>
  <c r="K10" i="32"/>
  <c r="K17" i="32"/>
  <c r="Q9" i="32"/>
  <c r="E5" i="28" a="1"/>
  <c r="F6" i="27" a="1"/>
  <c r="E6" i="27" a="1"/>
  <c r="AD21" i="33" l="1"/>
  <c r="J13" i="29"/>
  <c r="AA12" i="36"/>
  <c r="T16" i="36"/>
  <c r="X16" i="36" s="1"/>
  <c r="T17" i="36"/>
  <c r="X17" i="36" s="1"/>
  <c r="Q12" i="32"/>
  <c r="Q19" i="32"/>
  <c r="U11" i="32"/>
  <c r="N19" i="32"/>
  <c r="T11" i="32"/>
  <c r="T12" i="32" s="1"/>
  <c r="Y12" i="32" s="1"/>
  <c r="AE9" i="32"/>
  <c r="N21" i="32"/>
  <c r="N11" i="32"/>
  <c r="N23" i="32"/>
  <c r="N13" i="32"/>
  <c r="N9" i="32"/>
  <c r="N24" i="32"/>
  <c r="N15" i="32"/>
  <c r="N22" i="32"/>
  <c r="N20" i="32"/>
  <c r="N10" i="32"/>
  <c r="N12" i="32"/>
  <c r="N18" i="32"/>
  <c r="N14" i="32"/>
  <c r="V11" i="32"/>
  <c r="N16" i="32"/>
  <c r="K19" i="32"/>
  <c r="K12" i="32"/>
  <c r="H15" i="32"/>
  <c r="V10" i="32"/>
  <c r="H24" i="32"/>
  <c r="H13" i="32"/>
  <c r="H22" i="32"/>
  <c r="T10" i="32"/>
  <c r="AD12" i="32"/>
  <c r="H20" i="32"/>
  <c r="AD11" i="32"/>
  <c r="H18" i="32"/>
  <c r="U10" i="32"/>
  <c r="H12" i="32"/>
  <c r="H14" i="32"/>
  <c r="H16" i="32"/>
  <c r="H21" i="32"/>
  <c r="H19" i="32"/>
  <c r="V12" i="32" a="1"/>
  <c r="V12" i="32" s="1"/>
  <c r="H11" i="32"/>
  <c r="H9" i="32"/>
  <c r="H23" i="32"/>
  <c r="H10" i="32"/>
  <c r="AD9" i="32"/>
  <c r="E5" i="28"/>
  <c r="AE8" i="28" s="1"/>
  <c r="H17" i="28"/>
  <c r="F6" i="27"/>
  <c r="O12" i="27" s="1"/>
  <c r="E6" i="27"/>
  <c r="L56" i="2"/>
  <c r="N25" i="28"/>
  <c r="R10" i="27"/>
  <c r="L10" i="27"/>
  <c r="N24" i="28"/>
  <c r="H24" i="28"/>
  <c r="K8" i="28"/>
  <c r="Q15" i="28"/>
  <c r="K9" i="28"/>
  <c r="Q16" i="28"/>
  <c r="H25" i="28"/>
  <c r="O25" i="27"/>
  <c r="AE15" i="27"/>
  <c r="Q9" i="28"/>
  <c r="K15" i="28"/>
  <c r="R17" i="27"/>
  <c r="K16" i="28"/>
  <c r="AD14" i="28"/>
  <c r="I26" i="27"/>
  <c r="L9" i="27"/>
  <c r="Q8" i="28"/>
  <c r="L17" i="27"/>
  <c r="R16" i="27"/>
  <c r="L16" i="27"/>
  <c r="I25" i="27"/>
  <c r="AD23" i="32"/>
  <c r="R9" i="27"/>
  <c r="O26" i="27"/>
  <c r="W12" i="32" l="1"/>
  <c r="X12" i="32" s="1"/>
  <c r="N17" i="32"/>
  <c r="H17" i="32"/>
  <c r="U17" i="32"/>
  <c r="U16" i="32"/>
  <c r="AE23" i="32"/>
  <c r="U12" i="32"/>
  <c r="Z12" i="32"/>
  <c r="AD18" i="32"/>
  <c r="N20" i="28"/>
  <c r="N8" i="28"/>
  <c r="N17" i="28"/>
  <c r="N21" i="28"/>
  <c r="N9" i="28"/>
  <c r="N19" i="28"/>
  <c r="N22" i="28"/>
  <c r="T10" i="28"/>
  <c r="T11" i="28" s="1"/>
  <c r="Y11" i="28" s="1"/>
  <c r="U15" i="28" s="1"/>
  <c r="N18" i="28"/>
  <c r="N23" i="28"/>
  <c r="N10" i="28"/>
  <c r="V10" i="28"/>
  <c r="H9" i="28"/>
  <c r="H11" i="28"/>
  <c r="V11" i="28" a="1"/>
  <c r="V11" i="28" s="1"/>
  <c r="AD8" i="28"/>
  <c r="H19" i="28"/>
  <c r="H22" i="28"/>
  <c r="U9" i="28"/>
  <c r="H18" i="28"/>
  <c r="H16" i="28" s="1"/>
  <c r="H20" i="28"/>
  <c r="AD10" i="28"/>
  <c r="H21" i="28"/>
  <c r="AD11" i="28"/>
  <c r="AD17" i="28" s="1"/>
  <c r="Q11" i="28"/>
  <c r="Q18" i="28"/>
  <c r="N12" i="28"/>
  <c r="H23" i="28"/>
  <c r="N13" i="28"/>
  <c r="U10" i="28"/>
  <c r="H8" i="28"/>
  <c r="N14" i="28"/>
  <c r="N11" i="28"/>
  <c r="H10" i="28"/>
  <c r="N15" i="28"/>
  <c r="T9" i="28"/>
  <c r="H12" i="28"/>
  <c r="V9" i="28"/>
  <c r="H13" i="28"/>
  <c r="H14" i="28"/>
  <c r="H15" i="28"/>
  <c r="K11" i="28"/>
  <c r="K18" i="28"/>
  <c r="R12" i="27"/>
  <c r="R19" i="27"/>
  <c r="O19" i="27"/>
  <c r="O9" i="27"/>
  <c r="AO25" i="27" s="1"/>
  <c r="O14" i="27"/>
  <c r="U11" i="27"/>
  <c r="U12" i="27" s="1"/>
  <c r="Z12" i="27" s="1"/>
  <c r="V16" i="27" s="1"/>
  <c r="W11" i="27"/>
  <c r="O15" i="27"/>
  <c r="O20" i="27"/>
  <c r="O21" i="27"/>
  <c r="O22" i="27"/>
  <c r="O23" i="27"/>
  <c r="O18" i="27"/>
  <c r="O24" i="27"/>
  <c r="O16" i="27"/>
  <c r="O10" i="27"/>
  <c r="O11" i="27"/>
  <c r="V11" i="27"/>
  <c r="O13" i="27"/>
  <c r="AF9" i="27"/>
  <c r="AE12" i="27"/>
  <c r="AE9" i="27"/>
  <c r="AE11" i="27"/>
  <c r="W10" i="27"/>
  <c r="W12" i="27" a="1"/>
  <c r="W12" i="27" s="1"/>
  <c r="U10" i="27"/>
  <c r="V10" i="27"/>
  <c r="L19" i="27"/>
  <c r="L12" i="27"/>
  <c r="I24" i="27"/>
  <c r="I22" i="27"/>
  <c r="I23" i="27"/>
  <c r="I20" i="27"/>
  <c r="I21" i="27"/>
  <c r="I18" i="27"/>
  <c r="I19" i="27"/>
  <c r="I15" i="27"/>
  <c r="I16" i="27"/>
  <c r="I13" i="27"/>
  <c r="I14" i="27"/>
  <c r="I11" i="27"/>
  <c r="I12" i="27"/>
  <c r="I9" i="27"/>
  <c r="AN25" i="27" s="1"/>
  <c r="I10" i="27"/>
  <c r="AD22" i="28"/>
  <c r="AD19" i="32"/>
  <c r="AD18" i="28"/>
  <c r="AE23" i="27"/>
  <c r="W17" i="32" l="1"/>
  <c r="V17" i="32"/>
  <c r="AD13" i="32"/>
  <c r="AD14" i="32" s="1"/>
  <c r="AD20" i="32"/>
  <c r="W11" i="28"/>
  <c r="X11" i="28" s="1"/>
  <c r="T15" i="28" s="1"/>
  <c r="X15" i="28" s="1"/>
  <c r="T17" i="32"/>
  <c r="X17" i="32" s="1"/>
  <c r="T16" i="32"/>
  <c r="X16" i="32" s="1"/>
  <c r="AA12" i="32"/>
  <c r="U16" i="28"/>
  <c r="N16" i="28"/>
  <c r="Z11" i="28"/>
  <c r="U11" i="28"/>
  <c r="AE22" i="28"/>
  <c r="AD19" i="28"/>
  <c r="AD12" i="28"/>
  <c r="AD13" i="28" s="1"/>
  <c r="X12" i="27"/>
  <c r="Y12" i="27" s="1"/>
  <c r="U17" i="27" s="1"/>
  <c r="Y17" i="27" s="1"/>
  <c r="O17" i="27"/>
  <c r="V17" i="27"/>
  <c r="AF23" i="27"/>
  <c r="AE18" i="27"/>
  <c r="AA12" i="27"/>
  <c r="V12" i="27"/>
  <c r="I17" i="27"/>
  <c r="AE19" i="27"/>
  <c r="W16" i="28" l="1"/>
  <c r="AD21" i="32"/>
  <c r="AD22" i="32"/>
  <c r="AE22" i="32" s="1"/>
  <c r="V16" i="28"/>
  <c r="T16" i="28"/>
  <c r="X16" i="28" s="1"/>
  <c r="AA11" i="28"/>
  <c r="AD20" i="28"/>
  <c r="AD21" i="28"/>
  <c r="AE21" i="28" s="1"/>
  <c r="X17" i="27"/>
  <c r="W17" i="27"/>
  <c r="AE20" i="27"/>
  <c r="AE13" i="27"/>
  <c r="AE14" i="27" s="1"/>
  <c r="AB12" i="27"/>
  <c r="U16" i="27"/>
  <c r="Y16" i="27" s="1"/>
  <c r="AE21" i="27" l="1"/>
  <c r="AE22" i="27"/>
  <c r="AF22" i="2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<sst xmlns="http://schemas.openxmlformats.org/spreadsheetml/2006/main" count="17568" uniqueCount="435">
  <si>
    <t>PRE</t>
  </si>
  <si>
    <t xml:space="preserve">A. Dati demografici ed Esperienza VR </t>
  </si>
  <si>
    <t>Alberto Fulcheri</t>
  </si>
  <si>
    <t>P1</t>
  </si>
  <si>
    <t>P1. Età</t>
  </si>
  <si>
    <t>P2</t>
  </si>
  <si>
    <t>P2. Genere</t>
  </si>
  <si>
    <t>M</t>
  </si>
  <si>
    <t>Scala:</t>
  </si>
  <si>
    <t xml:space="preserve"> [Sì,No]</t>
  </si>
  <si>
    <t>P3</t>
  </si>
  <si>
    <t xml:space="preserve">Hai mai usato un visore VR? </t>
  </si>
  <si>
    <t>P4</t>
  </si>
  <si>
    <t xml:space="preserve">Hai mai visto video 360° in VR? </t>
  </si>
  <si>
    <t>P5</t>
  </si>
  <si>
    <t xml:space="preserve">In generale, quando provi tecnologie nuove ti senti a tuo agio? </t>
  </si>
  <si>
    <t>P6</t>
  </si>
  <si>
    <t xml:space="preserve">Oggi ti senti riposato e concentrato? </t>
  </si>
  <si>
    <t>B. FoMO generica</t>
  </si>
  <si>
    <t>Scala Likert 1–7:</t>
  </si>
  <si>
    <t>1 = per niente d’accordo; 2 = poco d’accordo; 3 = abbastanza in disaccordo; 4 = neutro; 5 = abbastanza d’accordo; 6 = molto d’accordo; 7 = pienamente d’accordo</t>
  </si>
  <si>
    <t>Punteggio</t>
  </si>
  <si>
    <t>Codice</t>
  </si>
  <si>
    <t>Item</t>
  </si>
  <si>
    <t>Reverse</t>
  </si>
  <si>
    <t>Risposta (1–7)</t>
  </si>
  <si>
    <t>Punteggio (post-reverse)</t>
  </si>
  <si>
    <t>Note</t>
  </si>
  <si>
    <t>Media FoMO (1–7)</t>
  </si>
  <si>
    <t>T1</t>
  </si>
  <si>
    <t>Tendo a preoccuparmi quando non so cosa stanno facendo gli altri.</t>
  </si>
  <si>
    <t>No</t>
  </si>
  <si>
    <t>Media FoMO (0–100)</t>
  </si>
  <si>
    <t>T2</t>
  </si>
  <si>
    <t>Mi infastidisce perdermi eventi a cui partecipano le persone a cui tengo.</t>
  </si>
  <si>
    <t>Somma FoMO (10–70)</t>
  </si>
  <si>
    <t>T3</t>
  </si>
  <si>
    <t>Quando non posso partecipare a un’attività, temo che gli altri vivano esperienze più gratificanti.</t>
  </si>
  <si>
    <t>T4</t>
  </si>
  <si>
    <t>Controllo spesso i messaggi/social per non perdermi nulla.</t>
  </si>
  <si>
    <t>T5</t>
  </si>
  <si>
    <t>Se scopro che gli altri si sono divertiti senza di me, mi sento a disagio.</t>
  </si>
  <si>
    <t>T6</t>
  </si>
  <si>
    <t>Preferisco rimanere aggiornato anche su attività a cui non parteciperò.</t>
  </si>
  <si>
    <t>T7</t>
  </si>
  <si>
    <t>Mi sento ansioso quando resto scollegato per un po’.</t>
  </si>
  <si>
    <t>T8</t>
  </si>
  <si>
    <t>A volte rinuncio a cose utili (riposo/studio) per non perdermi eventi sociali.</t>
  </si>
  <si>
    <t>T9</t>
  </si>
  <si>
    <t>Vorrei essere invitato a quasi tutto ciò che fanno gli altri.</t>
  </si>
  <si>
    <t>T10</t>
  </si>
  <si>
    <t>(R) Perdere qualche evento non mi crea alcuna preoccupazione.</t>
  </si>
  <si>
    <t>Sì</t>
  </si>
  <si>
    <t>INTERMEDIO</t>
  </si>
  <si>
    <t>Immersione</t>
  </si>
  <si>
    <t>Immagini Specifiche</t>
  </si>
  <si>
    <t>[Sì, No]</t>
  </si>
  <si>
    <t>1=per niente d’accordo; 2=poco d’accordo; 3=abbastanza in disaccordo; 4=neutro; 5=abbastanza d’accordo; 6=molto d’accordo; 7=pienamente d’accordo</t>
  </si>
  <si>
    <t>IM1</t>
  </si>
  <si>
    <t xml:space="preserve">11.1 Durante la visione del video "Elefanti" hai visto questa azione? </t>
  </si>
  <si>
    <t>si</t>
  </si>
  <si>
    <t>Video 1</t>
  </si>
  <si>
    <t>Video 2</t>
  </si>
  <si>
    <t>(post-reverse)</t>
  </si>
  <si>
    <t>PR1</t>
  </si>
  <si>
    <t>Mi sono sentito realmente presente nel luogo mostrato dal video.</t>
  </si>
  <si>
    <t>Media (scala originale)</t>
  </si>
  <si>
    <t>PR2</t>
  </si>
  <si>
    <t>L’ambiente del video mi è sembrato concreto e credibile.</t>
  </si>
  <si>
    <t>Media normalizzata (0–100)</t>
  </si>
  <si>
    <t>PR3</t>
  </si>
  <si>
    <t>Durante la visione ero consapevole della stanza reale attorno a me.</t>
  </si>
  <si>
    <t>Somma (min–max)</t>
  </si>
  <si>
    <t>PR4</t>
  </si>
  <si>
    <t>Avevo la sensazione di essere circondato dalla scena a 360°.</t>
  </si>
  <si>
    <t>PR5</t>
  </si>
  <si>
    <t>Ho percepito profondità e spazio realistici nell’ambiente.</t>
  </si>
  <si>
    <t>PR6</t>
  </si>
  <si>
    <t>Ho seguito la storia con attenzione costante.</t>
  </si>
  <si>
    <t>PR7</t>
  </si>
  <si>
    <t>Gli eventi mi hanno coinvolto emotivamente.</t>
  </si>
  <si>
    <t>PR8</t>
  </si>
  <si>
    <t>Mi sono sentito distaccato da ciò che accadeva nel video.</t>
  </si>
  <si>
    <t>PR9</t>
  </si>
  <si>
    <t>Nel complesso, quanto è stato forte il senso di essere lì presente rispetto a guardare un normale video?</t>
  </si>
  <si>
    <t>IM2</t>
  </si>
  <si>
    <t xml:space="preserve">11.2 Durante la visione del video "Leoni" hai visto questa azione? </t>
  </si>
  <si>
    <t>PR10</t>
  </si>
  <si>
    <t>Quanto la memoria di questa esperienza somiglia a quella di un luogo reale visitato oggi?</t>
  </si>
  <si>
    <t>linee di stich</t>
  </si>
  <si>
    <t>Agency</t>
  </si>
  <si>
    <t>AE1</t>
  </si>
  <si>
    <t>Potevo decidere liberamente dove guardare e cosa esplorare.</t>
  </si>
  <si>
    <t>AE2</t>
  </si>
  <si>
    <t>Mi sono sentito fisicamente presente nella scena.</t>
  </si>
  <si>
    <t>AE3</t>
  </si>
  <si>
    <t>Il mio corpo reagiva spontaneamente agli eventi (es. sussulti, movimenti).</t>
  </si>
  <si>
    <t>AE4</t>
  </si>
  <si>
    <t>Mi sembrava di non avere un corpo all’interno della scena.</t>
  </si>
  <si>
    <t>AE5</t>
  </si>
  <si>
    <t>I movimenti della testa influenzavano in modo naturale ciò che vedevo.</t>
  </si>
  <si>
    <t>AE6</t>
  </si>
  <si>
    <t>(Se termico=ON) Le sensazioni termiche mi hanno fatto sentire più connesso fisicamente all’ambiente.</t>
  </si>
  <si>
    <t>Presenza</t>
  </si>
  <si>
    <t>SP1</t>
  </si>
  <si>
    <t>Mi sono sentito in compagnia di altre persone nel video.</t>
  </si>
  <si>
    <t>SP2</t>
  </si>
  <si>
    <t>Ho percepito i personaggi come socialmente presenti.</t>
  </si>
  <si>
    <t>SP3</t>
  </si>
  <si>
    <t>I personaggi mi sembravano solo immagini prive di presenza.</t>
  </si>
  <si>
    <t>FoMO in-video</t>
  </si>
  <si>
    <t>F1</t>
  </si>
  <si>
    <t>La paura di perdermi parti della scena mi ha distratto.</t>
  </si>
  <si>
    <t>F2</t>
  </si>
  <si>
    <t>Mi sono sentito frustrato perché non potevo vedere tutto nello stesso momento.</t>
  </si>
  <si>
    <t>F3</t>
  </si>
  <si>
    <t>Ero preoccupato che altrove stessero accadendo eventi più importanti.</t>
  </si>
  <si>
    <t>F4</t>
  </si>
  <si>
    <t>Avrei voluto passare più tempo a guardare l’altra direzione.</t>
  </si>
  <si>
    <t>F5</t>
  </si>
  <si>
    <t>Preferirei guardare un lato alla volta dall’inizio alla fine per non perdere nulla.</t>
  </si>
  <si>
    <t>F6</t>
  </si>
  <si>
    <t>È stato facile capire cosa fosse davvero importante, senza bisogno di vedere tutto.</t>
  </si>
  <si>
    <t>Wearable - Comfort</t>
  </si>
  <si>
    <t>W1</t>
  </si>
  <si>
    <t>Il dispositivo è stato comodo da indossare.</t>
  </si>
  <si>
    <t>W2</t>
  </si>
  <si>
    <t>L’ho percepito ingombrante o pesante.</t>
  </si>
  <si>
    <t>W3</t>
  </si>
  <si>
    <t>Ha interferito con la mia concentrazione sul video.</t>
  </si>
  <si>
    <t>W4</t>
  </si>
  <si>
    <t>Mi sono quasi dimenticato di indossarlo durante la visione.</t>
  </si>
  <si>
    <t>W5</t>
  </si>
  <si>
    <t>Limitava i miei movimenti (testa/torso) o le rotazioni.</t>
  </si>
  <si>
    <t>Wearable - Coerenza</t>
  </si>
  <si>
    <t>W6</t>
  </si>
  <si>
    <t>Le variazioni di temperatura sono state appropriate alle scene.</t>
  </si>
  <si>
    <t>W7</t>
  </si>
  <si>
    <t>Gli stimoli termici sono stati piacevoli.</t>
  </si>
  <si>
    <t>W8</t>
  </si>
  <si>
    <t>Alcuni effetti sono stati troppo intensi per i miei gusti.</t>
  </si>
  <si>
    <t>W9</t>
  </si>
  <si>
    <t>Grazie al feedback termico mi sono sentito più immerso.</t>
  </si>
  <si>
    <t>W10</t>
  </si>
  <si>
    <t>Il dispositivo mi è sembrato un’estensione naturale del corpo.</t>
  </si>
  <si>
    <t>Wearable - Accettabilità</t>
  </si>
  <si>
    <t>W11</t>
  </si>
  <si>
    <t>Mi imbarazzerebbe usare un dispositivo simile in pubblico.</t>
  </si>
  <si>
    <t>W12</t>
  </si>
  <si>
    <t>Il design mi è sembrato discreto e adeguato.</t>
  </si>
  <si>
    <t>W13</t>
  </si>
  <si>
    <t>Indossarlo potrebbe far pensare agli altri qualcosa di negativo.</t>
  </si>
  <si>
    <t>W14</t>
  </si>
  <si>
    <t>Userei volentieri questo dispositivo in altre esperienze VR.</t>
  </si>
  <si>
    <t>Wearable - Percezione</t>
  </si>
  <si>
    <t>WT1</t>
  </si>
  <si>
    <t>Complessivamente ho percepito molto caldo.</t>
  </si>
  <si>
    <t>WT2</t>
  </si>
  <si>
    <t>In qualche momento ho percepito calore eccessivo sulla pelle.</t>
  </si>
  <si>
    <t>WT3</t>
  </si>
  <si>
    <t>La direzione da cui proveniva il calore mi è parsa coerente con la scena.</t>
  </si>
  <si>
    <t>Soddisfazione</t>
  </si>
  <si>
    <t>1=per niente; 2=pochissimo; 3=poco; 4=così così/neutro; 5=abbastanza; 6=molto; 7=moltissimo</t>
  </si>
  <si>
    <t>SAT1</t>
  </si>
  <si>
    <t>Quanto ti è piaciuto questo video?</t>
  </si>
  <si>
    <t>SAT2</t>
  </si>
  <si>
    <t>Vorresti rivedere questa esperienza?</t>
  </si>
  <si>
    <t>Cybersickness</t>
  </si>
  <si>
    <t>0=per niente; 1=leggero; 2=moderato; 3=severo</t>
  </si>
  <si>
    <t>SSQ1</t>
  </si>
  <si>
    <t>Nausea.</t>
  </si>
  <si>
    <t>SSQ2</t>
  </si>
  <si>
    <t>Mal di testa.</t>
  </si>
  <si>
    <t>Indice 0–100</t>
  </si>
  <si>
    <t>SSQ3</t>
  </si>
  <si>
    <t>Affaticamento visivo / bruciore agli occhi.</t>
  </si>
  <si>
    <t>SSQ4</t>
  </si>
  <si>
    <t>Vertigini (con occhi aperti).</t>
  </si>
  <si>
    <t>SSQ5</t>
  </si>
  <si>
    <t>Difficoltà a mettere a fuoco.</t>
  </si>
  <si>
    <t>SSQ6</t>
  </si>
  <si>
    <t>Senso di disorientamento.</t>
  </si>
  <si>
    <t>System Usability Scale (SUS)</t>
  </si>
  <si>
    <t>1=fortemente in disaccordo; 2=in disaccordo; 3=neutro; 4=d’accordo; 5=fortemente d’accordo</t>
  </si>
  <si>
    <t>SUS1</t>
  </si>
  <si>
    <t>Penso che userei questa esperienza/tecnologia frequentemente.</t>
  </si>
  <si>
    <t>Somma Adj (0–40)</t>
  </si>
  <si>
    <t>SUS2</t>
  </si>
  <si>
    <t>Ho trovato l’esperienza inutilmente complessa.</t>
  </si>
  <si>
    <t>Punteggio SUS (0–100)</t>
  </si>
  <si>
    <t>SUS3</t>
  </si>
  <si>
    <t>Ho trovato l’esperienza semplice da usare.</t>
  </si>
  <si>
    <t>SUS4</t>
  </si>
  <si>
    <t>Credo avrei bisogno del supporto di un tecnico per utilizzare questo sistema.</t>
  </si>
  <si>
    <t>SUS5</t>
  </si>
  <si>
    <t>Le varie funzioni dell’esperienza erano ben integrate.</t>
  </si>
  <si>
    <t>SUS6</t>
  </si>
  <si>
    <t>Ho trovato troppa incoerenza nell’esperienza.</t>
  </si>
  <si>
    <t>SUS7</t>
  </si>
  <si>
    <t>Immagino che la maggior parte delle persone imparerebbe a utilizzare questa esperienza molto rapidamente.</t>
  </si>
  <si>
    <t>SUS8</t>
  </si>
  <si>
    <t>Ho trovato l’esperienza ingombrante e poco intuitiva.</t>
  </si>
  <si>
    <t>SUS9</t>
  </si>
  <si>
    <t>Mi sono sentito sicuro e a mio agio nell’usare questa esperienza.</t>
  </si>
  <si>
    <t>SUS10</t>
  </si>
  <si>
    <t>Ho dovuto imparare molte cose prima di poter usare questa esperienza.</t>
  </si>
  <si>
    <t>POST</t>
  </si>
  <si>
    <t>Punteggio "INTERMEDIO"</t>
  </si>
  <si>
    <t>Confronto tra condizioni</t>
  </si>
  <si>
    <t>Imposta etichette (modificabili):</t>
  </si>
  <si>
    <t>Opzione 1:</t>
  </si>
  <si>
    <t>Sessione A (con feedback termico)</t>
  </si>
  <si>
    <t>Conteggio opzione 1</t>
  </si>
  <si>
    <t>Opzione 2:</t>
  </si>
  <si>
    <t>Sessione B (senza feedback termico)</t>
  </si>
  <si>
    <t>Conteggio opzione 2</t>
  </si>
  <si>
    <t>% opzione 2</t>
  </si>
  <si>
    <t>1 = opzione 1; 2 = opzione 2 (vedi etichette sopra)</t>
  </si>
  <si>
    <t>Risposta (1–2)</t>
  </si>
  <si>
    <t>C1</t>
  </si>
  <si>
    <t>In quale sessione ti sei sentito più presente?</t>
  </si>
  <si>
    <t>C2</t>
  </si>
  <si>
    <t>In quale sessione l’immersione è stata maggiore?</t>
  </si>
  <si>
    <t>C3</t>
  </si>
  <si>
    <t>Preferisci guardare video 360° con o senza feedback termico?</t>
  </si>
  <si>
    <t>C4</t>
  </si>
  <si>
    <t>Quale video ti è piaciuto di più (indipendentemente dal feedback)?</t>
  </si>
  <si>
    <t>C5</t>
  </si>
  <si>
    <t>Useresti questo dispositivo in future esperienze VR? (1=sì, 2=no)</t>
  </si>
  <si>
    <t>Domande aperte</t>
  </si>
  <si>
    <t>Prompt</t>
  </si>
  <si>
    <t>Risposta (testo libero)</t>
  </si>
  <si>
    <t>O1</t>
  </si>
  <si>
    <t>Descrivi un momento in cui il calore ha migliorato o peggiorato l’esperienza.</t>
  </si>
  <si>
    <t>calore principalmente all'inizio, perché POI sempre in visione</t>
  </si>
  <si>
    <t>O2</t>
  </si>
  <si>
    <t>In quali situazioni il feedback termico ti ha guidato a guardare in una certa direzione?</t>
  </si>
  <si>
    <t>O3</t>
  </si>
  <si>
    <t>Suggerimenti per migliorare comfort, intensità, sincronizzazione del dispositivo?</t>
  </si>
  <si>
    <t>O4</t>
  </si>
  <si>
    <t>Hai altri commenti sull’esperienza? Momenti in cui il calore ti ha sorpreso o infastidito?</t>
  </si>
  <si>
    <t>Giulia Genko</t>
  </si>
  <si>
    <t>F</t>
  </si>
  <si>
    <t>no</t>
  </si>
  <si>
    <t>non proprio</t>
  </si>
  <si>
    <t>Mi sono sentito in compagnia di altre personaggi nel video.</t>
  </si>
  <si>
    <t>tanti elementi</t>
  </si>
  <si>
    <t>sì mi ha aiutato a non perdere dei contenuti; sentita più sicura (anche inconsciamente) ottimo feedback</t>
  </si>
  <si>
    <t>Carlotta La greca</t>
  </si>
  <si>
    <t>Quanto la memoria di questa esperienza somiglia a quella di un luogo reale visitato?</t>
  </si>
  <si>
    <t>se gia caldo lo percepisco meno quando si riaccende</t>
  </si>
  <si>
    <t xml:space="preserve">prurito </t>
  </si>
  <si>
    <t>Giuseppe Ballarò</t>
  </si>
  <si>
    <t xml:space="preserve">si </t>
  </si>
  <si>
    <t xml:space="preserve">Adelaide </t>
  </si>
  <si>
    <t>Kevin</t>
  </si>
  <si>
    <t>Quanto la memoria di questa esperienza somiglia a quella di un esperienza reale?</t>
  </si>
  <si>
    <t>Mi sono sentito in compagnia di altri personaggi nel video.</t>
  </si>
  <si>
    <t>non simile a un prodotto finale</t>
  </si>
  <si>
    <t>Useresti questo dispositivo in future esperienze VR? (1=sì; 2=no)</t>
  </si>
  <si>
    <t>alzarsi in piedi è un aiuto all'immersione, ma il termico aiuto a concentrarsi</t>
  </si>
  <si>
    <t>Alice P.</t>
  </si>
  <si>
    <t>meno triste</t>
  </si>
  <si>
    <t>guidato bene e utili (girato più in fretta</t>
  </si>
  <si>
    <t xml:space="preserve">anche più caldi </t>
  </si>
  <si>
    <t>Gabri</t>
  </si>
  <si>
    <t xml:space="preserve">sì con il sensore </t>
  </si>
  <si>
    <t>in cui sapevo esattamente dove accadeva la scena anche se guardavo altrove</t>
  </si>
  <si>
    <t>soprattutto quando ci sono i cambi di scena</t>
  </si>
  <si>
    <t xml:space="preserve">bluetooth o wireless </t>
  </si>
  <si>
    <t>Nessuno</t>
  </si>
  <si>
    <t xml:space="preserve">molto figo la configurazione per le direzioni (dietro, avanti) </t>
  </si>
  <si>
    <t>sento un po' meno quando si spengono, preferirei fossero sempre accesi</t>
  </si>
  <si>
    <t>Gioele</t>
  </si>
  <si>
    <t xml:space="preserve">Hazem </t>
  </si>
  <si>
    <t>più concentrato sulla scena che sul feedback</t>
  </si>
  <si>
    <t>Henri</t>
  </si>
  <si>
    <t xml:space="preserve">no </t>
  </si>
  <si>
    <t xml:space="preserve">configurazione diversa, magari più vicina ala testa (quindi allo sguardo) </t>
  </si>
  <si>
    <t>Graziano</t>
  </si>
  <si>
    <t>feedback utile per capire cosa è da guardare, con la scelta di seguirlo o meno</t>
  </si>
  <si>
    <t>Alex</t>
  </si>
  <si>
    <t>uguale</t>
  </si>
  <si>
    <t>più calore nei polsi</t>
  </si>
  <si>
    <t>Filippo</t>
  </si>
  <si>
    <t>Utente 1</t>
  </si>
  <si>
    <t>Utente 2</t>
  </si>
  <si>
    <t>Utente 3</t>
  </si>
  <si>
    <t>Utente 4</t>
  </si>
  <si>
    <t>Utente 5</t>
  </si>
  <si>
    <t>Utente 6</t>
  </si>
  <si>
    <t>Utente 7</t>
  </si>
  <si>
    <t>Utente 8</t>
  </si>
  <si>
    <t>Utente 9</t>
  </si>
  <si>
    <t>Utente 10</t>
  </si>
  <si>
    <t>Utente 11</t>
  </si>
  <si>
    <t>Utente 12</t>
  </si>
  <si>
    <t>Utente 13</t>
  </si>
  <si>
    <t>Utente 14</t>
  </si>
  <si>
    <t>Utente 15</t>
  </si>
  <si>
    <t>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</si>
  <si>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</si>
  <si>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</si>
  <si>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</si>
  <si>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</si>
  <si>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</si>
  <si>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</si>
  <si>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</si>
  <si>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</si>
  <si>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</si>
  <si>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</si>
  <si>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Minimum</t>
  </si>
  <si>
    <t>Sum</t>
  </si>
  <si>
    <t>Count</t>
  </si>
  <si>
    <t>Geometric Mean</t>
  </si>
  <si>
    <t>Harmonic Mean</t>
  </si>
  <si>
    <t>AAD</t>
  </si>
  <si>
    <t>MAD</t>
  </si>
  <si>
    <t>IQR</t>
  </si>
  <si>
    <t>Multiplier</t>
  </si>
  <si>
    <t>Grand Min</t>
  </si>
  <si>
    <t>Outliers</t>
  </si>
  <si>
    <t>Min</t>
  </si>
  <si>
    <t>Q1</t>
  </si>
  <si>
    <t>Q3</t>
  </si>
  <si>
    <t>Max</t>
  </si>
  <si>
    <t>Q1-Min</t>
  </si>
  <si>
    <t>Med-Q1</t>
  </si>
  <si>
    <t>Q3-Med</t>
  </si>
  <si>
    <t>Max-Q3</t>
  </si>
  <si>
    <t>None</t>
  </si>
  <si>
    <t>Shapiro-Wilk Test</t>
  </si>
  <si>
    <t>W-stat</t>
  </si>
  <si>
    <t>p-value</t>
  </si>
  <si>
    <t>alpha</t>
  </si>
  <si>
    <t>normal</t>
  </si>
  <si>
    <t>d'Agostino-Pearson</t>
  </si>
  <si>
    <t>DA-stat</t>
  </si>
  <si>
    <t>T Test: Two Paired Samples</t>
  </si>
  <si>
    <t>SUMMARY</t>
  </si>
  <si>
    <t>Alpha</t>
  </si>
  <si>
    <t>Hyp Mean Diff</t>
  </si>
  <si>
    <t>Groups</t>
  </si>
  <si>
    <t>Std Dev</t>
  </si>
  <si>
    <t>Std Err</t>
  </si>
  <si>
    <t>t</t>
  </si>
  <si>
    <t>df</t>
  </si>
  <si>
    <t>Cohen d</t>
  </si>
  <si>
    <t>Effect r</t>
  </si>
  <si>
    <t>Difference</t>
  </si>
  <si>
    <t>T TEST</t>
  </si>
  <si>
    <t xml:space="preserve"> </t>
  </si>
  <si>
    <t>t-crit</t>
  </si>
  <si>
    <t>lower</t>
  </si>
  <si>
    <t>upper</t>
  </si>
  <si>
    <t>sig</t>
  </si>
  <si>
    <t>One Tail</t>
  </si>
  <si>
    <t>Two Tail</t>
  </si>
  <si>
    <t>Wilcoxon Signed-Rank Test for Paired Samples</t>
  </si>
  <si>
    <t>median</t>
  </si>
  <si>
    <t>count</t>
  </si>
  <si>
    <t># unequal</t>
  </si>
  <si>
    <t>T+</t>
  </si>
  <si>
    <t>T-</t>
  </si>
  <si>
    <t>T</t>
  </si>
  <si>
    <t>one tail</t>
  </si>
  <si>
    <t>two tail</t>
  </si>
  <si>
    <t>mean</t>
  </si>
  <si>
    <t>std dev</t>
  </si>
  <si>
    <t>ties</t>
  </si>
  <si>
    <t>z-score</t>
  </si>
  <si>
    <t>yates</t>
  </si>
  <si>
    <t>effect r</t>
  </si>
  <si>
    <t>p-norm</t>
  </si>
  <si>
    <t>p-exact</t>
  </si>
  <si>
    <t>p-simul</t>
  </si>
  <si>
    <t>N/A</t>
  </si>
  <si>
    <t>SUS</t>
  </si>
  <si>
    <t>all'ultimo</t>
  </si>
  <si>
    <t>Group 1</t>
  </si>
  <si>
    <t>Group 2</t>
  </si>
  <si>
    <t>Sample 1</t>
  </si>
  <si>
    <t>Sample 2</t>
  </si>
  <si>
    <t>Alessia</t>
  </si>
  <si>
    <t>INV</t>
  </si>
  <si>
    <t xml:space="preserve">non ho ben capito come funzionava correttamente il dispositivo ma è stato comunque "rassicurante" averlo anziché no </t>
  </si>
  <si>
    <t>Alice</t>
  </si>
  <si>
    <t xml:space="preserve">nel secondo mi sentivo più frustrata, non guidato </t>
  </si>
  <si>
    <t>Alberto</t>
  </si>
  <si>
    <t>anche se video visto 2 volte</t>
  </si>
  <si>
    <t xml:space="preserve">Nicola </t>
  </si>
  <si>
    <t xml:space="preserve">elefanti che ti toccano </t>
  </si>
  <si>
    <t xml:space="preserve">meno fomo con i pad </t>
  </si>
  <si>
    <t>Daniele</t>
  </si>
  <si>
    <t>configurazione behind da migliorare</t>
  </si>
  <si>
    <t>Utente 16</t>
  </si>
  <si>
    <t>Utente 17</t>
  </si>
  <si>
    <t>Utente 18</t>
  </si>
  <si>
    <t>Utente 19</t>
  </si>
  <si>
    <t>Utente 20</t>
  </si>
  <si>
    <t>Utente 21</t>
  </si>
  <si>
    <t>FoMO</t>
  </si>
  <si>
    <t>Mati</t>
  </si>
  <si>
    <t>W - Percezione</t>
  </si>
  <si>
    <t>Fomo Generica</t>
  </si>
  <si>
    <t>media</t>
  </si>
  <si>
    <t>Età</t>
  </si>
  <si>
    <t>Genere</t>
  </si>
  <si>
    <t>W - 1</t>
  </si>
  <si>
    <t>W - Comfort</t>
  </si>
  <si>
    <t>W - 2</t>
  </si>
  <si>
    <t>W - 3</t>
  </si>
  <si>
    <t>W -  5</t>
  </si>
  <si>
    <t>W - 4</t>
  </si>
  <si>
    <t>W - Coerenza</t>
  </si>
  <si>
    <t>W - 6</t>
  </si>
  <si>
    <t>W - 7</t>
  </si>
  <si>
    <t>W - 8</t>
  </si>
  <si>
    <t>W - 9</t>
  </si>
  <si>
    <t>W -  10</t>
  </si>
  <si>
    <t>W - Accettabilità</t>
  </si>
  <si>
    <t>Imm. Specifiche</t>
  </si>
  <si>
    <t>Confronto</t>
  </si>
  <si>
    <t>percentuali</t>
  </si>
  <si>
    <t>W - 11</t>
  </si>
  <si>
    <t>W - 12</t>
  </si>
  <si>
    <t>W - 13</t>
  </si>
  <si>
    <t>W - 14</t>
  </si>
  <si>
    <t>sus</t>
  </si>
  <si>
    <t>w</t>
  </si>
  <si>
    <t>CF</t>
  </si>
  <si>
    <t>SF</t>
  </si>
  <si>
    <t>SZ</t>
  </si>
  <si>
    <t>FOMO generica</t>
  </si>
  <si>
    <t>Percezione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</si>
</sst>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E+00"/>
    <numFmt numFmtId="165" formatCode="0.0000"/>
    <numFmt numFmtId="166" formatCode="0.00000E+00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i/>
      <sz val="11"/>
      <color rgb="FF00000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3" fillId="3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/>
    </xf>
    <xf numFmtId="0" fontId="4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0" fillId="4" borderId="1" xfId="0" applyFill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0" fillId="0" borderId="5" xfId="0" applyBorder="1" applyAlignment="1">
      <alignment horizontal="right" vertical="center"/>
    </xf>
    <xf numFmtId="2" fontId="0" fillId="0" borderId="0" xfId="0" applyNumberFormat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2" fontId="0" fillId="0" borderId="6" xfId="0" applyNumberForma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0" fillId="0" borderId="14" xfId="0" applyNumberFormat="1" applyBorder="1" applyAlignment="1">
      <alignment horizontal="left" vertical="center"/>
    </xf>
    <xf numFmtId="2" fontId="0" fillId="0" borderId="15" xfId="0" applyNumberFormat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0" fontId="0" fillId="0" borderId="11" xfId="0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2" fontId="0" fillId="0" borderId="0" xfId="0" applyNumberFormat="1" applyAlignment="1">
      <alignment horizontal="right" vertical="center"/>
    </xf>
    <xf numFmtId="0" fontId="0" fillId="0" borderId="17" xfId="0" applyBorder="1" applyAlignment="1">
      <alignment horizontal="left" vertical="center"/>
    </xf>
    <xf numFmtId="2" fontId="0" fillId="0" borderId="5" xfId="0" applyNumberFormat="1" applyBorder="1" applyAlignment="1">
      <alignment horizontal="right" vertical="center"/>
    </xf>
    <xf numFmtId="0" fontId="0" fillId="0" borderId="5" xfId="0" applyBorder="1"/>
    <xf numFmtId="0" fontId="4" fillId="0" borderId="5" xfId="0" applyFont="1" applyBorder="1" applyAlignment="1">
      <alignment horizontal="center"/>
    </xf>
    <xf numFmtId="2" fontId="0" fillId="0" borderId="0" xfId="0" applyNumberFormat="1"/>
    <xf numFmtId="0" fontId="0" fillId="0" borderId="5" xfId="0" applyBorder="1" applyAlignment="1">
      <alignment horizontal="right"/>
    </xf>
    <xf numFmtId="0" fontId="0" fillId="0" borderId="17" xfId="0" applyBorder="1"/>
    <xf numFmtId="0" fontId="4" fillId="0" borderId="8" xfId="0" applyFont="1" applyBorder="1" applyAlignment="1">
      <alignment horizontal="center"/>
    </xf>
    <xf numFmtId="2" fontId="0" fillId="0" borderId="17" xfId="0" applyNumberFormat="1" applyBorder="1"/>
    <xf numFmtId="0" fontId="0" fillId="0" borderId="0" xfId="0" applyAlignment="1">
      <alignment horizontal="center"/>
    </xf>
    <xf numFmtId="2" fontId="0" fillId="0" borderId="18" xfId="0" applyNumberFormat="1" applyBorder="1"/>
    <xf numFmtId="2" fontId="0" fillId="0" borderId="19" xfId="0" applyNumberFormat="1" applyBorder="1"/>
    <xf numFmtId="0" fontId="0" fillId="0" borderId="20" xfId="0" applyBorder="1"/>
    <xf numFmtId="0" fontId="0" fillId="0" borderId="6" xfId="0" applyBorder="1"/>
    <xf numFmtId="0" fontId="0" fillId="0" borderId="7" xfId="0" applyBorder="1"/>
    <xf numFmtId="0" fontId="0" fillId="0" borderId="21" xfId="0" applyBorder="1"/>
    <xf numFmtId="0" fontId="0" fillId="0" borderId="9" xfId="0" applyBorder="1"/>
    <xf numFmtId="0" fontId="0" fillId="0" borderId="10" xfId="0" applyBorder="1"/>
    <xf numFmtId="0" fontId="4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left" vertical="center"/>
    </xf>
    <xf numFmtId="0" fontId="0" fillId="6" borderId="0" xfId="0" applyFill="1" applyAlignment="1">
      <alignment vertical="center"/>
    </xf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/>
    </xf>
    <xf numFmtId="0" fontId="0" fillId="0" borderId="22" xfId="0" applyBorder="1"/>
    <xf numFmtId="2" fontId="4" fillId="0" borderId="5" xfId="0" applyNumberFormat="1" applyFont="1" applyBorder="1" applyAlignment="1">
      <alignment horizontal="center"/>
    </xf>
    <xf numFmtId="0" fontId="0" fillId="0" borderId="23" xfId="0" applyBorder="1"/>
    <xf numFmtId="0" fontId="0" fillId="0" borderId="24" xfId="0" applyBorder="1"/>
    <xf numFmtId="2" fontId="0" fillId="0" borderId="6" xfId="0" applyNumberFormat="1" applyBorder="1"/>
    <xf numFmtId="2" fontId="0" fillId="0" borderId="7" xfId="0" applyNumberFormat="1" applyBorder="1"/>
    <xf numFmtId="2" fontId="4" fillId="0" borderId="25" xfId="0" applyNumberFormat="1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0" fillId="0" borderId="26" xfId="0" applyBorder="1" applyAlignment="1">
      <alignment horizontal="right"/>
    </xf>
    <xf numFmtId="0" fontId="0" fillId="0" borderId="27" xfId="0" applyBorder="1"/>
    <xf numFmtId="0" fontId="0" fillId="0" borderId="28" xfId="0" applyBorder="1"/>
    <xf numFmtId="2" fontId="4" fillId="0" borderId="0" xfId="0" applyNumberFormat="1" applyFont="1" applyAlignment="1">
      <alignment horizontal="center"/>
    </xf>
    <xf numFmtId="0" fontId="4" fillId="0" borderId="29" xfId="0" applyFon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right"/>
    </xf>
    <xf numFmtId="2" fontId="0" fillId="0" borderId="22" xfId="0" applyNumberFormat="1" applyBorder="1"/>
    <xf numFmtId="0" fontId="4" fillId="0" borderId="30" xfId="0" applyFont="1" applyBorder="1" applyAlignment="1">
      <alignment horizontal="center"/>
    </xf>
    <xf numFmtId="2" fontId="0" fillId="0" borderId="31" xfId="0" applyNumberFormat="1" applyBorder="1"/>
    <xf numFmtId="2" fontId="0" fillId="0" borderId="32" xfId="0" applyNumberFormat="1" applyBorder="1"/>
    <xf numFmtId="0" fontId="0" fillId="0" borderId="33" xfId="0" applyBorder="1"/>
    <xf numFmtId="0" fontId="0" fillId="8" borderId="0" xfId="0" applyFill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right"/>
    </xf>
    <xf numFmtId="0" fontId="0" fillId="0" borderId="22" xfId="0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25" xfId="0" applyBorder="1"/>
    <xf numFmtId="0" fontId="0" fillId="0" borderId="25" xfId="0" applyBorder="1" applyAlignment="1">
      <alignment horizontal="right"/>
    </xf>
    <xf numFmtId="2" fontId="0" fillId="0" borderId="27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0" fillId="0" borderId="36" xfId="0" applyBorder="1"/>
    <xf numFmtId="0" fontId="0" fillId="0" borderId="37" xfId="0" applyBorder="1"/>
    <xf numFmtId="0" fontId="4" fillId="0" borderId="30" xfId="0" applyFont="1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38" xfId="0" applyBorder="1" applyAlignment="1">
      <alignment horizontal="right" vertical="center"/>
    </xf>
    <xf numFmtId="2" fontId="0" fillId="0" borderId="38" xfId="0" applyNumberFormat="1" applyBorder="1" applyAlignment="1">
      <alignment horizontal="left" vertical="center"/>
    </xf>
    <xf numFmtId="2" fontId="0" fillId="0" borderId="38" xfId="0" applyNumberFormat="1" applyBorder="1" applyAlignment="1">
      <alignment horizontal="right" vertical="center"/>
    </xf>
    <xf numFmtId="2" fontId="4" fillId="0" borderId="34" xfId="0" applyNumberFormat="1" applyFont="1" applyBorder="1" applyAlignment="1">
      <alignment horizontal="center" vertical="center"/>
    </xf>
    <xf numFmtId="2" fontId="4" fillId="0" borderId="35" xfId="0" applyNumberFormat="1" applyFont="1" applyBorder="1" applyAlignment="1">
      <alignment horizontal="center" vertical="center"/>
    </xf>
    <xf numFmtId="0" fontId="0" fillId="0" borderId="36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9" fontId="0" fillId="0" borderId="0" xfId="1" applyFont="1" applyAlignment="1">
      <alignment horizontal="left" vertical="center"/>
    </xf>
    <xf numFmtId="9" fontId="0" fillId="0" borderId="0" xfId="1" applyFont="1" applyAlignment="1">
      <alignment horizontal="left"/>
    </xf>
    <xf numFmtId="0" fontId="0" fillId="0" borderId="38" xfId="0" applyBorder="1"/>
    <xf numFmtId="2" fontId="0" fillId="0" borderId="38" xfId="0" applyNumberFormat="1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4" fillId="0" borderId="41" xfId="0" applyFont="1" applyBorder="1" applyAlignment="1">
      <alignment horizontal="center"/>
    </xf>
    <xf numFmtId="0" fontId="0" fillId="0" borderId="41" xfId="0" applyBorder="1" applyAlignment="1">
      <alignment horizontal="right"/>
    </xf>
    <xf numFmtId="166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  <extLst>
        <ext xmlns:xfpb="http://schemas.microsoft.com/office/spreadsheetml/2022/featurepropertybag" uri="{C7286773-470A-42A8-94C5-96B5CB345126}">
          <xfpb:xfComplement i="0"/>
        </ext>
      </extLst>
    </xf>
    <xf numFmtId="2" fontId="0" fillId="0" borderId="0" xfId="0" applyNumberFormat="1" applyAlignment="1">
      <alignment horizontal="left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8" fillId="0" borderId="0" xfId="0" applyFont="1" applyAlignment="1">
      <alignment horizontal="left" vertical="center"/>
    </xf>
    <xf numFmtId="1" fontId="0" fillId="0" borderId="0" xfId="0" applyNumberFormat="1"/>
    <xf numFmtId="0" fontId="0" fillId="0" borderId="42" xfId="0" applyBorder="1" applyAlignment="1">
      <alignment horizontal="center" vertical="center"/>
    </xf>
    <xf numFmtId="2" fontId="0" fillId="0" borderId="42" xfId="0" applyNumberForma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2" fontId="0" fillId="0" borderId="43" xfId="0" applyNumberFormat="1" applyBorder="1" applyAlignment="1">
      <alignment horizontal="center" vertical="center"/>
    </xf>
    <xf numFmtId="164" fontId="0" fillId="0" borderId="43" xfId="0" applyNumberForma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2" fontId="8" fillId="0" borderId="42" xfId="0" applyNumberFormat="1" applyFont="1" applyBorder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46" xfId="0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22/11/relationships/FeaturePropertyBag" Target="featurePropertyBag/featurePropertyBag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 with Outliers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'Fomo Generica'!$I$8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156082"/>
                  </a:solidFill>
                </a14:hiddenFill>
              </a:ext>
            </a:extLst>
          </c:spPr>
          <c:invertIfNegative val="0"/>
          <c:cat>
            <c:strRef>
              <c:f>'Fomo Generica'!$J$7</c:f>
              <c:strCache>
                <c:ptCount val="1"/>
                <c:pt idx="0">
                  <c:v>Group 1</c:v>
                </c:pt>
              </c:strCache>
            </c:strRef>
          </c:cat>
          <c:val>
            <c:numRef>
              <c:f>'Fomo Generica'!$J$8</c:f>
              <c:numCache>
                <c:formatCode>General</c:formatCode>
                <c:ptCount val="1"/>
                <c:pt idx="0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0-4027-B7F9-D7CFE18D8CFE}"/>
            </c:ext>
          </c:extLst>
        </c:ser>
        <c:ser>
          <c:idx val="1"/>
          <c:order val="1"/>
          <c:tx>
            <c:strRef>
              <c:f>'Fomo Generica'!$I$9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E97132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'Fomo Generica'!$J$7</c:f>
              <c:strCache>
                <c:ptCount val="1"/>
                <c:pt idx="0">
                  <c:v>Group 1</c:v>
                </c:pt>
              </c:strCache>
            </c:strRef>
          </c:cat>
          <c:val>
            <c:numRef>
              <c:f>'Fomo Generica'!$J$9</c:f>
              <c:numCache>
                <c:formatCode>General</c:formatCode>
                <c:ptCount val="1"/>
                <c:pt idx="0">
                  <c:v>0.90000000000000013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0-4027-B7F9-D7CFE18D8CFE}"/>
            </c:ext>
          </c:extLst>
        </c:ser>
        <c:ser>
          <c:idx val="2"/>
          <c:order val="2"/>
          <c:tx>
            <c:strRef>
              <c:f>'Fomo Generica'!$I$10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'Fomo Generica'!$J$7</c:f>
              <c:strCache>
                <c:ptCount val="1"/>
                <c:pt idx="0">
                  <c:v>Group 1</c:v>
                </c:pt>
              </c:strCache>
            </c:strRef>
          </c:cat>
          <c:val>
            <c:numRef>
              <c:f>'Fomo Generica'!$J$10</c:f>
              <c:numCache>
                <c:formatCode>General</c:formatCode>
                <c:ptCount val="1"/>
                <c:pt idx="0">
                  <c:v>0.69999999999999973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0-4027-B7F9-D7CFE18D8CFE}"/>
            </c:ext>
          </c:extLst>
        </c:ser>
        <c:ser>
          <c:idx val="3"/>
          <c:order val="3"/>
          <c:tx>
            <c:strRef>
              <c:f>'Fomo Generica'!$I$11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'Fomo Generica'!$J$12</c:f>
                <c:numCache>
                  <c:formatCode>General</c:formatCode>
                  <c:ptCount val="1"/>
                  <c:pt idx="0">
                    <c:v>1.3000000000000003</c:v>
                  </c:pt>
                </c:numCache>
              </c:numRef>
            </c:plus>
          </c:errBars>
          <c:cat>
            <c:strRef>
              <c:f>'Fomo Generica'!$J$7</c:f>
              <c:strCache>
                <c:ptCount val="1"/>
                <c:pt idx="0">
                  <c:v>Group 1</c:v>
                </c:pt>
              </c:strCache>
            </c:strRef>
          </c:cat>
          <c:val>
            <c:numRef>
              <c:f>'Fomo Generica'!$J$11</c:f>
              <c:numCache>
                <c:formatCode>General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D0-4027-B7F9-D7CFE18D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645440"/>
        <c:axId val="456645920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38100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'Fomo Generica'!$J$13</c:f>
              <c:numCache>
                <c:formatCode>0.00</c:formatCode>
                <c:ptCount val="1"/>
                <c:pt idx="0">
                  <c:v>3.39047619047619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D0-4027-B7F9-D7CFE18D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45440"/>
        <c:axId val="456645920"/>
      </c:scatterChart>
      <c:catAx>
        <c:axId val="45664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6645920"/>
        <c:crosses val="autoZero"/>
        <c:auto val="1"/>
        <c:lblAlgn val="ctr"/>
        <c:lblOffset val="100"/>
        <c:noMultiLvlLbl val="0"/>
      </c:catAx>
      <c:valAx>
        <c:axId val="45664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6645440"/>
        <c:crosses val="autoZero"/>
        <c:crossBetween val="between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Agency!$AM$25</c:f>
              <c:strCache>
                <c:ptCount val="1"/>
                <c:pt idx="0">
                  <c:v>Agency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Agency!$AN$24:$AO$24</c:f>
              <c:strCache>
                <c:ptCount val="2"/>
                <c:pt idx="0">
                  <c:v>CF</c:v>
                </c:pt>
                <c:pt idx="1">
                  <c:v>SF</c:v>
                </c:pt>
              </c:strCache>
            </c:strRef>
          </c:cat>
          <c:val>
            <c:numRef>
              <c:f>Agency!$AN$25:$AO$25</c:f>
              <c:numCache>
                <c:formatCode>0.00</c:formatCode>
                <c:ptCount val="2"/>
                <c:pt idx="0">
                  <c:v>5.8095238095238093</c:v>
                </c:pt>
                <c:pt idx="1">
                  <c:v>5.2285714285714295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F-4C3E-985C-3D8BF0EACD2B}"/>
            </c:ext>
          </c:extLst>
        </c:ser>
        <c:ser>
          <c:idx val="1"/>
          <c:order val="1"/>
          <c:tx>
            <c:strRef>
              <c:f>Agency!$AM$26</c:f>
              <c:strCache>
                <c:ptCount val="1"/>
                <c:pt idx="0">
                  <c:v>AE2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Agency!$AN$24:$AO$24</c:f>
              <c:strCache>
                <c:ptCount val="2"/>
                <c:pt idx="0">
                  <c:v>CF</c:v>
                </c:pt>
                <c:pt idx="1">
                  <c:v>SF</c:v>
                </c:pt>
              </c:strCache>
            </c:strRef>
          </c:cat>
          <c:val>
            <c:numRef>
              <c:f>Agency!$AN$26:$AO$26</c:f>
              <c:numCache>
                <c:formatCode>0.00</c:formatCode>
                <c:ptCount val="2"/>
                <c:pt idx="0">
                  <c:v>5.5714285714285712</c:v>
                </c:pt>
                <c:pt idx="1">
                  <c:v>4.4761904761904763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F-4C3E-985C-3D8BF0EACD2B}"/>
            </c:ext>
          </c:extLst>
        </c:ser>
        <c:ser>
          <c:idx val="2"/>
          <c:order val="2"/>
          <c:tx>
            <c:strRef>
              <c:f>Agency!$AM$27</c:f>
              <c:strCache>
                <c:ptCount val="1"/>
                <c:pt idx="0">
                  <c:v>AE3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Agency!$AN$24:$AO$24</c:f>
              <c:strCache>
                <c:ptCount val="2"/>
                <c:pt idx="0">
                  <c:v>CF</c:v>
                </c:pt>
                <c:pt idx="1">
                  <c:v>SF</c:v>
                </c:pt>
              </c:strCache>
            </c:strRef>
          </c:cat>
          <c:val>
            <c:numRef>
              <c:f>Agency!$AN$27:$AO$27</c:f>
              <c:numCache>
                <c:formatCode>0.00</c:formatCode>
                <c:ptCount val="2"/>
                <c:pt idx="0">
                  <c:v>5.9047619047619051</c:v>
                </c:pt>
                <c:pt idx="1">
                  <c:v>4.3809523809523814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F-4C3E-985C-3D8BF0EACD2B}"/>
            </c:ext>
          </c:extLst>
        </c:ser>
        <c:ser>
          <c:idx val="3"/>
          <c:order val="3"/>
          <c:tx>
            <c:strRef>
              <c:f>Agency!$AM$28</c:f>
              <c:strCache>
                <c:ptCount val="1"/>
                <c:pt idx="0">
                  <c:v>AE4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Agency!$AN$24:$AO$24</c:f>
              <c:strCache>
                <c:ptCount val="2"/>
                <c:pt idx="0">
                  <c:v>CF</c:v>
                </c:pt>
                <c:pt idx="1">
                  <c:v>SF</c:v>
                </c:pt>
              </c:strCache>
            </c:strRef>
          </c:cat>
          <c:val>
            <c:numRef>
              <c:f>Agency!$AN$28:$AO$28</c:f>
              <c:numCache>
                <c:formatCode>0.00</c:formatCode>
                <c:ptCount val="2"/>
                <c:pt idx="0">
                  <c:v>3.2857142857142856</c:v>
                </c:pt>
                <c:pt idx="1">
                  <c:v>4.3809523809523814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F-4C3E-985C-3D8BF0EACD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8709328"/>
        <c:axId val="1008709808"/>
      </c:barChart>
      <c:catAx>
        <c:axId val="100870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8709808"/>
        <c:crosses val="autoZero"/>
        <c:auto val="1"/>
        <c:lblAlgn val="ctr"/>
        <c:lblOffset val="100"/>
        <c:noMultiLvlLbl val="0"/>
      </c:catAx>
      <c:valAx>
        <c:axId val="10087098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0087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FOMO generica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FOMO generica</a:t>
          </a:r>
        </a:p>
      </cx:txPr>
    </cx:title>
    <cx:plotArea>
      <cx:plotAreaRegion>
        <cx:series layoutId="boxWhisker" uniqueId="{987FB3C9-393A-4E38-8E36-2A5F777D3237}">
          <cx:tx>
            <cx:txData>
              <cx:f>_xlchart.v1.0</cx:f>
              <cx:v>Fomo Generica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Immersione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Immersione</a:t>
          </a:r>
        </a:p>
      </cx:txPr>
    </cx:title>
    <cx:plotArea>
      <cx:plotAreaRegion>
        <cx:series layoutId="boxWhisker" uniqueId="{F09C3ED4-F048-444F-8ADB-DC03A0BB2800}">
          <cx:tx>
            <cx:txData>
              <cx:f>_xlchart.v1.2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33AA65-FFF6-4277-BC19-E85B5BF304DB}">
          <cx:tx>
            <cx:txData>
              <cx:f>_xlchart.v1.4</cx:f>
              <cx:v>SF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3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</cx:chartData>
  <cx:chart>
    <cx:title pos="t" align="ctr" overlay="0">
      <cx:tx>
        <cx:txData>
          <cx:v>Agency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Agency</a:t>
          </a:r>
        </a:p>
      </cx:txPr>
    </cx:title>
    <cx:plotArea>
      <cx:plotAreaRegion>
        <cx:series layoutId="boxWhisker" uniqueId="{F69A983D-C385-466B-AEEA-499598354B23}">
          <cx:tx>
            <cx:txData>
              <cx:f>_xlchart.v1.6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5C4780C-598B-4A2D-A918-16802EBB97FA}">
          <cx:tx>
            <cx:txData>
              <cx:f>_xlchart.v1.8</cx:f>
              <cx:v>SF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 min="4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>
      <cx:tx>
        <cx:txData>
          <cx:v>Presenza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Presenza</a:t>
          </a:r>
        </a:p>
      </cx:txPr>
    </cx:title>
    <cx:plotArea>
      <cx:plotAreaRegion>
        <cx:series layoutId="boxWhisker" uniqueId="{23B6D10F-D36D-4D59-885F-A6869A2A72C0}">
          <cx:tx>
            <cx:txData>
              <cx:f>_xlchart.v1.10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7D475A-A0B4-4546-85C4-873D77758F5F}">
          <cx:tx>
            <cx:txData>
              <cx:f>_xlchart.v1.12</cx:f>
              <cx:v>SF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0">
      <cx:tx>
        <cx:txData>
          <cx:v>FOMO in video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FOMO in video</a:t>
          </a:r>
        </a:p>
      </cx:txPr>
    </cx:title>
    <cx:plotArea>
      <cx:plotAreaRegion>
        <cx:series layoutId="boxWhisker" uniqueId="{6828CE4A-5AFC-4821-BE79-0033893CCA6B}">
          <cx:tx>
            <cx:txData>
              <cx:f>_xlchart.v1.14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6B9E7F9-F125-4447-A05C-1CB3B0663A74}">
          <cx:tx>
            <cx:txData>
              <cx:f>_xlchart.v1.16</cx:f>
              <cx:v>SF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</cx:chartData>
  <cx:chart>
    <cx:title pos="t" align="ctr" overlay="0">
      <cx:tx>
        <cx:txData>
          <cx:v>Comfort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Comfort</a:t>
          </a:r>
        </a:p>
      </cx:txPr>
    </cx:title>
    <cx:plotArea>
      <cx:plotAreaRegion>
        <cx:series layoutId="boxWhisker" uniqueId="{C36D1F86-12DA-43F2-AF9B-9F9BE566F914}">
          <cx:tx>
            <cx:txData>
              <cx:f>_xlchart.v1.18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A46163-2346-44CC-A5A9-689D8B1B91A1}">
          <cx:tx>
            <cx:txData>
              <cx:f>_xlchart.v1.20</cx:f>
              <cx:v>SF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Percezione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Percezione</a:t>
          </a:r>
        </a:p>
      </cx:txPr>
    </cx:title>
    <cx:plotArea>
      <cx:plotAreaRegion>
        <cx:series layoutId="boxWhisker" uniqueId="{C11BC5F0-1E6D-415D-9827-07BCA2B1D9F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_xlchart.v1.26</cx:f>
      </cx:numDim>
    </cx:data>
  </cx:chartData>
  <cx:chart>
    <cx:title pos="t" align="ctr" overlay="0">
      <cx:tx>
        <cx:txData>
          <cx:v>sus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sus</a:t>
          </a:r>
        </a:p>
      </cx:txPr>
    </cx:title>
    <cx:plotArea>
      <cx:plotAreaRegion>
        <cx:series layoutId="boxWhisker" uniqueId="{89FCB241-F32C-4C77-A1F0-48EAEF17EF0E}">
          <cx:tx>
            <cx:txData>
              <cx:f>_xlchart.v1.23</cx:f>
              <cx:v>CF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E576E0-4EB6-4510-817C-9DCB7605A9FA}">
          <cx:tx>
            <cx:txData>
              <cx:f>_xlchart.v1.25</cx:f>
              <cx:v>SF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noFill/>
              </a:defRPr>
            </a:pPr>
            <a:endParaRPr lang="it-IT" sz="900" b="0" i="0" u="none" strike="noStrike" baseline="0">
              <a:noFill/>
              <a:latin typeface="Aptos Narrow" panose="02110004020202020204"/>
            </a:endParaRPr>
          </a:p>
        </cx:txPr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396240</xdr:colOff>
      <xdr:row>4</xdr:row>
      <xdr:rowOff>53340</xdr:rowOff>
    </xdr:from>
    <xdr:to>
      <xdr:col>21</xdr:col>
      <xdr:colOff>91440</xdr:colOff>
      <xdr:row>19</xdr:row>
      <xdr:rowOff>53340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519A1E6-530D-F3C7-6786-D476F5DF5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284703</xdr:colOff>
      <xdr:row>20</xdr:row>
      <xdr:rowOff>131466</xdr:rowOff>
    </xdr:from>
    <xdr:to>
      <xdr:col>20</xdr:col>
      <xdr:colOff>577780</xdr:colOff>
      <xdr:row>35</xdr:row>
      <xdr:rowOff>111370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24DD552A-5802-9262-A683-00B87CFFF9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2443" y="3789066"/>
              <a:ext cx="4560277" cy="2745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355165</xdr:colOff>
      <xdr:row>3</xdr:row>
      <xdr:rowOff>156130</xdr:rowOff>
    </xdr:from>
    <xdr:to>
      <xdr:col>41</xdr:col>
      <xdr:colOff>55402</xdr:colOff>
      <xdr:row>18</xdr:row>
      <xdr:rowOff>87859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15EDB7BA-F679-0212-7BB8-4E89A82CCA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2105" y="704770"/>
              <a:ext cx="4577037" cy="2705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168068</xdr:colOff>
      <xdr:row>10</xdr:row>
      <xdr:rowOff>134470</xdr:rowOff>
    </xdr:from>
    <xdr:to>
      <xdr:col>49</xdr:col>
      <xdr:colOff>472578</xdr:colOff>
      <xdr:row>25</xdr:row>
      <xdr:rowOff>117137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81EC291-7836-7346-B816-52EB8A965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108323</xdr:colOff>
      <xdr:row>4</xdr:row>
      <xdr:rowOff>92635</xdr:rowOff>
    </xdr:from>
    <xdr:to>
      <xdr:col>41</xdr:col>
      <xdr:colOff>392205</xdr:colOff>
      <xdr:row>19</xdr:row>
      <xdr:rowOff>86658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ico 6">
              <a:extLst>
                <a:ext uri="{FF2B5EF4-FFF2-40B4-BE49-F238E27FC236}">
                  <a16:creationId xmlns:a16="http://schemas.microsoft.com/office/drawing/2014/main" id="{8554A7BA-2420-F225-052E-DA8110337B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34723" y="824155"/>
              <a:ext cx="4551082" cy="2767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277736</xdr:colOff>
      <xdr:row>5</xdr:row>
      <xdr:rowOff>88438</xdr:rowOff>
    </xdr:from>
    <xdr:to>
      <xdr:col>43</xdr:col>
      <xdr:colOff>0</xdr:colOff>
      <xdr:row>20</xdr:row>
      <xdr:rowOff>27774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49E6E4A-0EC0-DAFA-F76F-2F5A1EAFE8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91486" y="1040938"/>
              <a:ext cx="4548264" cy="27968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437876</xdr:colOff>
      <xdr:row>5</xdr:row>
      <xdr:rowOff>43255</xdr:rowOff>
    </xdr:from>
    <xdr:to>
      <xdr:col>47</xdr:col>
      <xdr:colOff>90007</xdr:colOff>
      <xdr:row>20</xdr:row>
      <xdr:rowOff>20064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02CA0C3-EE5C-5C3C-4154-44EAF6CE47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08809" y="974588"/>
              <a:ext cx="4528931" cy="27708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303282</xdr:colOff>
      <xdr:row>7</xdr:row>
      <xdr:rowOff>120469</xdr:rowOff>
    </xdr:from>
    <xdr:to>
      <xdr:col>41</xdr:col>
      <xdr:colOff>578007</xdr:colOff>
      <xdr:row>22</xdr:row>
      <xdr:rowOff>132085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BB15C2A-6988-5886-B3B1-0ADF18620B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0347" y="1410953"/>
              <a:ext cx="4576337" cy="2850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485862</xdr:colOff>
      <xdr:row>4</xdr:row>
      <xdr:rowOff>120942</xdr:rowOff>
    </xdr:from>
    <xdr:to>
      <xdr:col>20</xdr:col>
      <xdr:colOff>192248</xdr:colOff>
      <xdr:row>19</xdr:row>
      <xdr:rowOff>144711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8E43D073-A34C-BF77-7DB6-14A99B36B4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6362" y="852462"/>
              <a:ext cx="4583186" cy="27669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510375</xdr:colOff>
      <xdr:row>5</xdr:row>
      <xdr:rowOff>55623</xdr:rowOff>
    </xdr:from>
    <xdr:to>
      <xdr:col>41</xdr:col>
      <xdr:colOff>187102</xdr:colOff>
      <xdr:row>19</xdr:row>
      <xdr:rowOff>164421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6DEB84A-C57E-E289-04AC-0EE6294D50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5787" y="952094"/>
              <a:ext cx="4577433" cy="2678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5C7B55F-2E33-445E-9E1C-7F089860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818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2A9898EA-431F-4246-BEBB-C1B6DF17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970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265519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D7A0258-143D-4708-AB79-9DFC90ED4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7094" y="128886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F913C22-A525-4B12-AFB5-D280BFFA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522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BAAD3731-2B9B-4741-ADD9-43A504DE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709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AF14B8A-4584-4667-BD3B-B05313CC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522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5F7D9CE-D0F2-44EA-AC9A-90F2F7E5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133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8C371E3-3CC5-485C-B5BF-407010A0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8651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F09EAD3-59F3-4055-B73A-0ECA2122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37094" y="1284293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199870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F9E4235-8254-4EA4-AE70-6825BC71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522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68E8191-AB4C-4535-9217-ABD5C6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2853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086793F-9495-4F86-B984-55D008B4E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371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F8102E3-38CB-4FC2-9434-0CFB3F466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471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8DA15A0-C058-45A6-8624-36396885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5989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265519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E24D96D-0233-4B12-B8B6-A68FA276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104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199870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D17DD05-28AE-4BB2-82C0-E70CB457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56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BE70E40-34C8-4041-B777-39710F37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886D917-F8AC-4432-AF62-78D327CD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BA4AE9B-FAAC-4F45-8BD1-82DEFE32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0473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08B54E0-4B75-49F2-9901-0147F7BF0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1991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896CA58-8785-4B65-BF2E-4CE7EC843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139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40563CE-69AE-41A7-861A-4D1AECBE5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665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265519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02190A8-FC57-44D0-925E-01B7701A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035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4805786-6B33-45F9-8E31-DCF3794A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6553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A04AC74-E5C7-435C-A4F8-BB799287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99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AED503A-521C-403D-8B5F-8EFD21776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1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CE3A28E-9A30-4A36-BA24-B3929FE2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519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C728C00-BFA8-4884-A3A5-AD4C8CF9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903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04DE52C-63FB-4BBC-8665-2DF605D3A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94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059B836-C216-4525-A62B-8828F4B8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46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B2A3677-73AA-4A36-B03D-413693ED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9879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1CBE60A-7FCD-41DE-8952-7F388C7E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1397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265519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B7F9462-1527-4CA5-9096-BF90F1AE2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199870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2FC93C95-82AE-4AEA-A6F5-C30649CBE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3272BC2-F3D4-4B21-9A3E-5335F4F37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B01CEB1-E07C-419A-93AA-1D4CBE8CB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AC96874-3B3F-48F4-A421-82CF56684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BAFF303-947F-4515-8F25-2D42ECB7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F8F015E-EC74-49AB-9463-EE357ACD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199869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AA9F049-688C-4C13-8E81-004F441F9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209954</xdr:colOff>
      <xdr:row>46</xdr:row>
      <xdr:rowOff>346134</xdr:rowOff>
    </xdr:from>
    <xdr:to>
      <xdr:col>15</xdr:col>
      <xdr:colOff>2883695</xdr:colOff>
      <xdr:row>54</xdr:row>
      <xdr:rowOff>265521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E7669FB-9670-476C-8C63-0F1929D2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53274" y="12736254"/>
          <a:ext cx="2673741" cy="1611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125130</xdr:colOff>
      <xdr:row>37</xdr:row>
      <xdr:rowOff>163553</xdr:rowOff>
    </xdr:from>
    <xdr:to>
      <xdr:col>15</xdr:col>
      <xdr:colOff>2937613</xdr:colOff>
      <xdr:row>41</xdr:row>
      <xdr:rowOff>199870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D4056FE-FF3F-474D-95AC-EBE9D76F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68450" y="9627593"/>
          <a:ext cx="2812483" cy="149935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XRealStats.xlam" TargetMode="External"/><Relationship Id="rId1" Type="http://schemas.openxmlformats.org/officeDocument/2006/relationships/externalLinkPath" Target="file:///D: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Kendall Tc"/>
      <sheetName val="Kendall u"/>
      <sheetName val="Page Table"/>
      <sheetName val="Prime"/>
      <sheetName val="MSSD"/>
      <sheetName val="Dict"/>
      <sheetName val="ADict"/>
      <sheetName val="L4 2"/>
      <sheetName val="L8 2"/>
      <sheetName val="L8 42"/>
      <sheetName val="L9 3"/>
      <sheetName val="L12 2"/>
      <sheetName val="L16 2"/>
      <sheetName val="L16 4"/>
      <sheetName val="L16 42a"/>
      <sheetName val="L18 23"/>
      <sheetName val="L18 63"/>
      <sheetName val="L25 5"/>
      <sheetName val="L27 3"/>
      <sheetName val="L32 2"/>
      <sheetName val="L32 24"/>
      <sheetName val="L36 23a"/>
      <sheetName val="L36 23b"/>
      <sheetName val="L50 25"/>
      <sheetName val="L54 23"/>
      <sheetName val="L64 4"/>
      <sheetName val="T2"/>
      <sheetName val="T3"/>
      <sheetName val="T4"/>
    </sheetNames>
    <definedNames>
      <definedName name="DAGOSTINO"/>
      <definedName name="DPTEST"/>
      <definedName name="IQR"/>
      <definedName name="MAD"/>
      <definedName name="SHAPIRO"/>
      <definedName name="SRANK"/>
      <definedName name="SRDIST"/>
      <definedName name="SWTEST"/>
      <definedName name="TiesCorrection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E365-502D-4FA6-9181-0B94BAFACC20}">
  <sheetPr>
    <tabColor theme="8" tint="0.79998168889431442"/>
  </sheetPr>
  <dimension ref="C2:S50"/>
  <sheetViews>
    <sheetView zoomScale="90" zoomScaleNormal="90" workbookViewId="0">
      <selection activeCell="J26" sqref="J26"/>
    </sheetView>
  </sheetViews>
  <sheetFormatPr defaultRowHeight="14.4" x14ac:dyDescent="0.3"/>
  <cols>
    <col min="3" max="3" width="19.109375" bestFit="1" customWidth="1"/>
    <col min="4" max="4" width="12" customWidth="1"/>
    <col min="9" max="9" width="12.109375" customWidth="1"/>
  </cols>
  <sheetData>
    <row r="2" spans="3:19" x14ac:dyDescent="0.3">
      <c r="C2" s="2"/>
      <c r="D2" s="2" t="s">
        <v>406</v>
      </c>
      <c r="E2" s="2"/>
      <c r="F2" s="2"/>
      <c r="G2" s="2" t="s">
        <v>407</v>
      </c>
      <c r="J2" t="s">
        <v>10</v>
      </c>
      <c r="M2" t="s">
        <v>12</v>
      </c>
      <c r="P2" t="s">
        <v>14</v>
      </c>
      <c r="S2" t="s">
        <v>16</v>
      </c>
    </row>
    <row r="3" spans="3:19" x14ac:dyDescent="0.3">
      <c r="C3" s="2"/>
      <c r="D3" s="2"/>
      <c r="E3" s="2"/>
      <c r="F3" s="2"/>
      <c r="G3" s="2"/>
      <c r="I3" s="2"/>
      <c r="J3" s="106"/>
      <c r="L3" s="2"/>
      <c r="M3" s="106"/>
      <c r="O3" s="2"/>
      <c r="P3" s="106"/>
    </row>
    <row r="4" spans="3:19" x14ac:dyDescent="0.3">
      <c r="C4" s="2" t="s">
        <v>285</v>
      </c>
      <c r="D4" s="106" cm="1">
        <f t="array" aca="1" ref="D4" ca="1">INDIRECT("'" &amp; C4 &amp; "'!$d$4")</f>
        <v>23</v>
      </c>
      <c r="E4" s="106"/>
      <c r="F4" s="2" t="s">
        <v>285</v>
      </c>
      <c r="G4" s="106" t="str" cm="1">
        <f t="array" aca="1" ref="G4" ca="1">INDIRECT("'" &amp; F4 &amp; "'!$d$5")</f>
        <v>M</v>
      </c>
      <c r="H4" s="106"/>
      <c r="I4" s="2" t="s">
        <v>285</v>
      </c>
      <c r="J4" s="106" t="str" cm="1">
        <f t="array" aca="1" ref="J4" ca="1">INDIRECT("'" &amp; I4 &amp; "'!$d$9")</f>
        <v>si</v>
      </c>
      <c r="L4" s="2" t="s">
        <v>285</v>
      </c>
      <c r="M4" s="106" t="str" cm="1">
        <f t="array" aca="1" ref="M4" ca="1">INDIRECT("'" &amp; L4 &amp; "'!$d$10")</f>
        <v>si</v>
      </c>
      <c r="O4" s="2" t="s">
        <v>285</v>
      </c>
      <c r="P4" s="106" t="str" cm="1">
        <f t="array" aca="1" ref="P4" ca="1">INDIRECT("'" &amp; O4 &amp; "'!$d$11")</f>
        <v>si</v>
      </c>
      <c r="R4" s="2" t="s">
        <v>285</v>
      </c>
      <c r="S4" s="106" t="str" cm="1">
        <f t="array" aca="1" ref="S4" ca="1">INDIRECT("'" &amp; R4 &amp; "'!$d$12")</f>
        <v>si</v>
      </c>
    </row>
    <row r="5" spans="3:19" x14ac:dyDescent="0.3">
      <c r="C5" s="2" t="s">
        <v>286</v>
      </c>
      <c r="D5" s="106" cm="1">
        <f t="array" aca="1" ref="D5" ca="1">INDIRECT("'" &amp; C5 &amp; "'!$d$4")</f>
        <v>22</v>
      </c>
      <c r="E5" s="106"/>
      <c r="F5" s="2" t="s">
        <v>286</v>
      </c>
      <c r="G5" s="106" t="str" cm="1">
        <f t="array" aca="1" ref="G5" ca="1">INDIRECT("'" &amp; F5 &amp; "'!$d$5")</f>
        <v>F</v>
      </c>
      <c r="H5" s="106"/>
      <c r="I5" s="2" t="s">
        <v>286</v>
      </c>
      <c r="J5" s="106" t="str" cm="1">
        <f t="array" aca="1" ref="J5" ca="1">INDIRECT("'" &amp; I5 &amp; "'!$d$9")</f>
        <v>si</v>
      </c>
      <c r="L5" s="2" t="s">
        <v>286</v>
      </c>
      <c r="M5" s="106" t="str" cm="1">
        <f t="array" aca="1" ref="M5" ca="1">INDIRECT("'" &amp; L5 &amp; "'!$d$10")</f>
        <v>si</v>
      </c>
      <c r="O5" s="2" t="s">
        <v>286</v>
      </c>
      <c r="P5" s="106" t="str" cm="1">
        <f t="array" aca="1" ref="P5" ca="1">INDIRECT("'" &amp; O5 &amp; "'!$d$11")</f>
        <v>si</v>
      </c>
      <c r="R5" s="2" t="s">
        <v>286</v>
      </c>
      <c r="S5" s="106" t="str" cm="1">
        <f t="array" aca="1" ref="S5" ca="1">INDIRECT("'" &amp; R5 &amp; "'!$d$12")</f>
        <v>si</v>
      </c>
    </row>
    <row r="6" spans="3:19" x14ac:dyDescent="0.3">
      <c r="C6" s="2" t="s">
        <v>287</v>
      </c>
      <c r="D6" s="106" cm="1">
        <f t="array" aca="1" ref="D6" ca="1">INDIRECT("'" &amp; C6 &amp; "'!$d$4")</f>
        <v>26</v>
      </c>
      <c r="E6" s="106"/>
      <c r="F6" s="2" t="s">
        <v>287</v>
      </c>
      <c r="G6" s="106" t="str" cm="1">
        <f t="array" aca="1" ref="G6" ca="1">INDIRECT("'" &amp; F6 &amp; "'!$d$5")</f>
        <v>F</v>
      </c>
      <c r="H6" s="106"/>
      <c r="I6" s="2" t="s">
        <v>287</v>
      </c>
      <c r="J6" s="106" t="str" cm="1">
        <f t="array" aca="1" ref="J6" ca="1">INDIRECT("'" &amp; I6 &amp; "'!$d$9")</f>
        <v>si</v>
      </c>
      <c r="L6" s="2" t="s">
        <v>287</v>
      </c>
      <c r="M6" s="106" t="str" cm="1">
        <f t="array" aca="1" ref="M6" ca="1">INDIRECT("'" &amp; L6 &amp; "'!$d$10")</f>
        <v>si</v>
      </c>
      <c r="O6" s="2" t="s">
        <v>287</v>
      </c>
      <c r="P6" s="106" t="str" cm="1">
        <f t="array" aca="1" ref="P6" ca="1">INDIRECT("'" &amp; O6 &amp; "'!$d$11")</f>
        <v>si</v>
      </c>
      <c r="R6" s="2" t="s">
        <v>287</v>
      </c>
      <c r="S6" s="106" t="str" cm="1">
        <f t="array" aca="1" ref="S6" ca="1">INDIRECT("'" &amp; R6 &amp; "'!$d$12")</f>
        <v>no</v>
      </c>
    </row>
    <row r="7" spans="3:19" x14ac:dyDescent="0.3">
      <c r="C7" s="2" t="s">
        <v>288</v>
      </c>
      <c r="D7" s="106" cm="1">
        <f t="array" aca="1" ref="D7" ca="1">INDIRECT("'" &amp; C7 &amp; "'!$d$4")</f>
        <v>22</v>
      </c>
      <c r="E7" s="106"/>
      <c r="F7" s="2" t="s">
        <v>288</v>
      </c>
      <c r="G7" s="106" t="str" cm="1">
        <f t="array" aca="1" ref="G7" ca="1">INDIRECT("'" &amp; F7 &amp; "'!$d$5")</f>
        <v>M</v>
      </c>
      <c r="H7" s="106"/>
      <c r="I7" s="2" t="s">
        <v>288</v>
      </c>
      <c r="J7" s="106" t="str" cm="1">
        <f t="array" aca="1" ref="J7" ca="1">INDIRECT("'" &amp; I7 &amp; "'!$d$9")</f>
        <v>no</v>
      </c>
      <c r="L7" s="2" t="s">
        <v>288</v>
      </c>
      <c r="M7" s="106" t="str" cm="1">
        <f t="array" aca="1" ref="M7" ca="1">INDIRECT("'" &amp; L7 &amp; "'!$d$10")</f>
        <v>no</v>
      </c>
      <c r="O7" s="2" t="s">
        <v>288</v>
      </c>
      <c r="P7" s="106" t="str" cm="1">
        <f t="array" aca="1" ref="P7" ca="1">INDIRECT("'" &amp; O7 &amp; "'!$d$11")</f>
        <v>si</v>
      </c>
      <c r="R7" s="2" t="s">
        <v>288</v>
      </c>
      <c r="S7" s="106" t="str" cm="1">
        <f t="array" aca="1" ref="S7" ca="1">INDIRECT("'" &amp; R7 &amp; "'!$d$12")</f>
        <v>no</v>
      </c>
    </row>
    <row r="8" spans="3:19" x14ac:dyDescent="0.3">
      <c r="C8" s="2" t="s">
        <v>289</v>
      </c>
      <c r="D8" s="106" cm="1">
        <f t="array" aca="1" ref="D8" ca="1">INDIRECT("'" &amp; C8 &amp; "'!$d$4")</f>
        <v>22</v>
      </c>
      <c r="E8" s="106"/>
      <c r="F8" s="2" t="s">
        <v>289</v>
      </c>
      <c r="G8" s="106" t="str" cm="1">
        <f t="array" aca="1" ref="G8" ca="1">INDIRECT("'" &amp; F8 &amp; "'!$d$5")</f>
        <v>F</v>
      </c>
      <c r="H8" s="106"/>
      <c r="I8" s="2" t="s">
        <v>289</v>
      </c>
      <c r="J8" s="106" t="str" cm="1">
        <f t="array" aca="1" ref="J8" ca="1">INDIRECT("'" &amp; I8 &amp; "'!$d$9")</f>
        <v>si</v>
      </c>
      <c r="L8" s="2" t="s">
        <v>289</v>
      </c>
      <c r="M8" s="106" t="str" cm="1">
        <f t="array" aca="1" ref="M8" ca="1">INDIRECT("'" &amp; L8 &amp; "'!$d$10")</f>
        <v>si</v>
      </c>
      <c r="O8" s="2" t="s">
        <v>289</v>
      </c>
      <c r="P8" s="106" t="str" cm="1">
        <f t="array" aca="1" ref="P8" ca="1">INDIRECT("'" &amp; O8 &amp; "'!$d$11")</f>
        <v>no</v>
      </c>
      <c r="R8" s="2" t="s">
        <v>289</v>
      </c>
      <c r="S8" s="106" t="str" cm="1">
        <f t="array" aca="1" ref="S8" ca="1">INDIRECT("'" &amp; R8 &amp; "'!$d$12")</f>
        <v>si</v>
      </c>
    </row>
    <row r="9" spans="3:19" x14ac:dyDescent="0.3">
      <c r="C9" s="2" t="s">
        <v>290</v>
      </c>
      <c r="D9" s="106" cm="1">
        <f t="array" aca="1" ref="D9" ca="1">INDIRECT("'" &amp; C9 &amp; "'!$d$4")</f>
        <v>25</v>
      </c>
      <c r="E9" s="106"/>
      <c r="F9" s="2" t="s">
        <v>290</v>
      </c>
      <c r="G9" s="106" t="str" cm="1">
        <f t="array" aca="1" ref="G9" ca="1">INDIRECT("'" &amp; F9 &amp; "'!$d$5")</f>
        <v>M</v>
      </c>
      <c r="H9" s="106"/>
      <c r="I9" s="2" t="s">
        <v>290</v>
      </c>
      <c r="J9" s="106" t="str" cm="1">
        <f t="array" aca="1" ref="J9" ca="1">INDIRECT("'" &amp; I9 &amp; "'!$d$9")</f>
        <v>no</v>
      </c>
      <c r="L9" s="2" t="s">
        <v>290</v>
      </c>
      <c r="M9" s="106" t="str" cm="1">
        <f t="array" aca="1" ref="M9" ca="1">INDIRECT("'" &amp; L9 &amp; "'!$d$10")</f>
        <v>no</v>
      </c>
      <c r="O9" s="2" t="s">
        <v>290</v>
      </c>
      <c r="P9" s="106" t="str" cm="1">
        <f t="array" aca="1" ref="P9" ca="1">INDIRECT("'" &amp; O9 &amp; "'!$d$11")</f>
        <v>si</v>
      </c>
      <c r="R9" s="2" t="s">
        <v>290</v>
      </c>
      <c r="S9" s="106" t="str" cm="1">
        <f t="array" aca="1" ref="S9" ca="1">INDIRECT("'" &amp; R9 &amp; "'!$d$12")</f>
        <v>no</v>
      </c>
    </row>
    <row r="10" spans="3:19" x14ac:dyDescent="0.3">
      <c r="C10" s="2" t="s">
        <v>291</v>
      </c>
      <c r="D10" s="106" cm="1">
        <f t="array" aca="1" ref="D10" ca="1">INDIRECT("'" &amp; C10 &amp; "'!$d$4")</f>
        <v>24</v>
      </c>
      <c r="E10" s="106"/>
      <c r="F10" s="2" t="s">
        <v>291</v>
      </c>
      <c r="G10" s="106" t="str" cm="1">
        <f t="array" aca="1" ref="G10" ca="1">INDIRECT("'" &amp; F10 &amp; "'!$d$5")</f>
        <v>F</v>
      </c>
      <c r="H10" s="106"/>
      <c r="I10" s="2" t="s">
        <v>291</v>
      </c>
      <c r="J10" s="106" t="str" cm="1">
        <f t="array" aca="1" ref="J10" ca="1">INDIRECT("'" &amp; I10 &amp; "'!$d$9")</f>
        <v xml:space="preserve">si </v>
      </c>
      <c r="L10" s="2" t="s">
        <v>291</v>
      </c>
      <c r="M10" s="106" t="str" cm="1">
        <f t="array" aca="1" ref="M10" ca="1">INDIRECT("'" &amp; L10 &amp; "'!$d$10")</f>
        <v xml:space="preserve">si </v>
      </c>
      <c r="O10" s="2" t="s">
        <v>291</v>
      </c>
      <c r="P10" s="106" t="str" cm="1">
        <f t="array" aca="1" ref="P10" ca="1">INDIRECT("'" &amp; O10 &amp; "'!$d$11")</f>
        <v xml:space="preserve">si </v>
      </c>
      <c r="R10" s="2" t="s">
        <v>291</v>
      </c>
      <c r="S10" s="106" t="str" cm="1">
        <f t="array" aca="1" ref="S10" ca="1">INDIRECT("'" &amp; R10 &amp; "'!$d$12")</f>
        <v xml:space="preserve">si </v>
      </c>
    </row>
    <row r="11" spans="3:19" x14ac:dyDescent="0.3">
      <c r="C11" s="2" t="s">
        <v>292</v>
      </c>
      <c r="D11" s="106" cm="1">
        <f t="array" aca="1" ref="D11" ca="1">INDIRECT("'" &amp; C11 &amp; "'!$d$4")</f>
        <v>26</v>
      </c>
      <c r="E11" s="106"/>
      <c r="F11" s="2" t="s">
        <v>292</v>
      </c>
      <c r="G11" s="106" t="str" cm="1">
        <f t="array" aca="1" ref="G11" ca="1">INDIRECT("'" &amp; F11 &amp; "'!$d$5")</f>
        <v>M</v>
      </c>
      <c r="I11" s="2" t="s">
        <v>292</v>
      </c>
      <c r="J11" s="106" t="str" cm="1">
        <f t="array" aca="1" ref="J11" ca="1">INDIRECT("'" &amp; I11 &amp; "'!$d$9")</f>
        <v>si</v>
      </c>
      <c r="L11" s="2" t="s">
        <v>292</v>
      </c>
      <c r="M11" s="106" t="str" cm="1">
        <f t="array" aca="1" ref="M11" ca="1">INDIRECT("'" &amp; L11 &amp; "'!$d$10")</f>
        <v>si</v>
      </c>
      <c r="O11" s="2" t="s">
        <v>292</v>
      </c>
      <c r="P11" s="106" t="str" cm="1">
        <f t="array" aca="1" ref="P11" ca="1">INDIRECT("'" &amp; O11 &amp; "'!$d$11")</f>
        <v>si</v>
      </c>
      <c r="R11" s="2" t="s">
        <v>292</v>
      </c>
      <c r="S11" s="106" t="str" cm="1">
        <f t="array" aca="1" ref="S11" ca="1">INDIRECT("'" &amp; R11 &amp; "'!$d$12")</f>
        <v>no</v>
      </c>
    </row>
    <row r="12" spans="3:19" x14ac:dyDescent="0.3">
      <c r="C12" s="2" t="s">
        <v>293</v>
      </c>
      <c r="D12" s="106" cm="1">
        <f t="array" aca="1" ref="D12" ca="1">INDIRECT("'" &amp; C12 &amp; "'!$d$4")</f>
        <v>25</v>
      </c>
      <c r="E12" s="106"/>
      <c r="F12" s="2" t="s">
        <v>293</v>
      </c>
      <c r="G12" s="106" t="str" cm="1">
        <f t="array" aca="1" ref="G12" ca="1">INDIRECT("'" &amp; F12 &amp; "'!$d$5")</f>
        <v>F</v>
      </c>
      <c r="H12" s="106"/>
      <c r="I12" s="2" t="s">
        <v>293</v>
      </c>
      <c r="J12" s="106" t="str" cm="1">
        <f t="array" aca="1" ref="J12" ca="1">INDIRECT("'" &amp; I12 &amp; "'!$d$9")</f>
        <v>si</v>
      </c>
      <c r="L12" s="2" t="s">
        <v>293</v>
      </c>
      <c r="M12" s="106" t="str" cm="1">
        <f t="array" aca="1" ref="M12" ca="1">INDIRECT("'" &amp; L12 &amp; "'!$d$10")</f>
        <v>si</v>
      </c>
      <c r="O12" s="2" t="s">
        <v>293</v>
      </c>
      <c r="P12" s="106" t="str" cm="1">
        <f t="array" aca="1" ref="P12" ca="1">INDIRECT("'" &amp; O12 &amp; "'!$d$11")</f>
        <v>si</v>
      </c>
      <c r="R12" s="2" t="s">
        <v>293</v>
      </c>
      <c r="S12" s="106" t="str" cm="1">
        <f t="array" aca="1" ref="S12" ca="1">INDIRECT("'" &amp; R12 &amp; "'!$d$12")</f>
        <v>si</v>
      </c>
    </row>
    <row r="13" spans="3:19" x14ac:dyDescent="0.3">
      <c r="C13" s="2" t="s">
        <v>294</v>
      </c>
      <c r="D13" s="106" cm="1">
        <f t="array" aca="1" ref="D13" ca="1">INDIRECT("'" &amp; C13 &amp; "'!$d$4")</f>
        <v>24</v>
      </c>
      <c r="E13" s="106"/>
      <c r="F13" s="2" t="s">
        <v>294</v>
      </c>
      <c r="G13" s="106" t="str" cm="1">
        <f t="array" aca="1" ref="G13" ca="1">INDIRECT("'" &amp; F13 &amp; "'!$d$5")</f>
        <v>M</v>
      </c>
      <c r="H13" s="106"/>
      <c r="I13" s="2" t="s">
        <v>294</v>
      </c>
      <c r="J13" s="106" t="str" cm="1">
        <f t="array" aca="1" ref="J13" ca="1">INDIRECT("'" &amp; I13 &amp; "'!$d$9")</f>
        <v>si</v>
      </c>
      <c r="L13" s="2" t="s">
        <v>294</v>
      </c>
      <c r="M13" s="106" t="str" cm="1">
        <f t="array" aca="1" ref="M13" ca="1">INDIRECT("'" &amp; L13 &amp; "'!$d$10")</f>
        <v>no</v>
      </c>
      <c r="O13" s="2" t="s">
        <v>294</v>
      </c>
      <c r="P13" s="106" t="str" cm="1">
        <f t="array" aca="1" ref="P13" ca="1">INDIRECT("'" &amp; O13 &amp; "'!$d$11")</f>
        <v>si</v>
      </c>
      <c r="R13" s="2" t="s">
        <v>294</v>
      </c>
      <c r="S13" s="106" t="str" cm="1">
        <f t="array" aca="1" ref="S13" ca="1">INDIRECT("'" &amp; R13 &amp; "'!$d$12")</f>
        <v>si</v>
      </c>
    </row>
    <row r="14" spans="3:19" x14ac:dyDescent="0.3">
      <c r="C14" s="2" t="s">
        <v>295</v>
      </c>
      <c r="D14" s="106" cm="1">
        <f t="array" aca="1" ref="D14" ca="1">INDIRECT("'" &amp; C14 &amp; "'!$d$4")</f>
        <v>29</v>
      </c>
      <c r="E14" s="106"/>
      <c r="F14" s="2" t="s">
        <v>295</v>
      </c>
      <c r="G14" s="106" t="str" cm="1">
        <f t="array" aca="1" ref="G14" ca="1">INDIRECT("'" &amp; F14 &amp; "'!$d$5")</f>
        <v>M</v>
      </c>
      <c r="I14" s="2" t="s">
        <v>295</v>
      </c>
      <c r="J14" s="106" t="str" cm="1">
        <f t="array" aca="1" ref="J14" ca="1">INDIRECT("'" &amp; I14 &amp; "'!$d$9")</f>
        <v>no</v>
      </c>
      <c r="L14" s="2" t="s">
        <v>295</v>
      </c>
      <c r="M14" s="106" t="str" cm="1">
        <f t="array" aca="1" ref="M14" ca="1">INDIRECT("'" &amp; L14 &amp; "'!$d$10")</f>
        <v>no</v>
      </c>
      <c r="O14" s="2" t="s">
        <v>295</v>
      </c>
      <c r="P14" s="106" t="str" cm="1">
        <f t="array" aca="1" ref="P14" ca="1">INDIRECT("'" &amp; O14 &amp; "'!$d$11")</f>
        <v xml:space="preserve">si </v>
      </c>
      <c r="R14" s="2" t="s">
        <v>295</v>
      </c>
      <c r="S14" s="106" t="str" cm="1">
        <f t="array" aca="1" ref="S14" ca="1">INDIRECT("'" &amp; R14 &amp; "'!$d$12")</f>
        <v xml:space="preserve">si </v>
      </c>
    </row>
    <row r="15" spans="3:19" x14ac:dyDescent="0.3">
      <c r="C15" s="2" t="s">
        <v>296</v>
      </c>
      <c r="D15" s="106" cm="1">
        <f t="array" aca="1" ref="D15" ca="1">INDIRECT("'" &amp; C15 &amp; "'!$d$4")</f>
        <v>29</v>
      </c>
      <c r="E15" s="106"/>
      <c r="F15" s="2" t="s">
        <v>296</v>
      </c>
      <c r="G15" s="106" t="str" cm="1">
        <f t="array" aca="1" ref="G15" ca="1">INDIRECT("'" &amp; F15 &amp; "'!$d$5")</f>
        <v>M</v>
      </c>
      <c r="I15" s="2" t="s">
        <v>296</v>
      </c>
      <c r="J15" s="106" t="str" cm="1">
        <f t="array" aca="1" ref="J15" ca="1">INDIRECT("'" &amp; I15 &amp; "'!$d$9")</f>
        <v>no</v>
      </c>
      <c r="L15" s="2" t="s">
        <v>296</v>
      </c>
      <c r="M15" s="106" t="str" cm="1">
        <f t="array" aca="1" ref="M15" ca="1">INDIRECT("'" &amp; L15 &amp; "'!$d$10")</f>
        <v xml:space="preserve">no </v>
      </c>
      <c r="O15" s="2" t="s">
        <v>296</v>
      </c>
      <c r="P15" s="106" t="str" cm="1">
        <f t="array" aca="1" ref="P15" ca="1">INDIRECT("'" &amp; O15 &amp; "'!$d$11")</f>
        <v>si</v>
      </c>
      <c r="R15" s="2" t="s">
        <v>296</v>
      </c>
      <c r="S15" s="106" t="str" cm="1">
        <f t="array" aca="1" ref="S15" ca="1">INDIRECT("'" &amp; R15 &amp; "'!$d$12")</f>
        <v>no</v>
      </c>
    </row>
    <row r="16" spans="3:19" x14ac:dyDescent="0.3">
      <c r="C16" s="2" t="s">
        <v>297</v>
      </c>
      <c r="D16" s="106" cm="1">
        <f t="array" aca="1" ref="D16" ca="1">INDIRECT("'" &amp; C16 &amp; "'!$d$4")</f>
        <v>21</v>
      </c>
      <c r="E16" s="106"/>
      <c r="F16" s="2" t="s">
        <v>297</v>
      </c>
      <c r="G16" s="106" t="str" cm="1">
        <f t="array" aca="1" ref="G16" ca="1">INDIRECT("'" &amp; F16 &amp; "'!$d$5")</f>
        <v>M</v>
      </c>
      <c r="I16" s="2" t="s">
        <v>297</v>
      </c>
      <c r="J16" s="106" t="str" cm="1">
        <f t="array" aca="1" ref="J16" ca="1">INDIRECT("'" &amp; I16 &amp; "'!$d$9")</f>
        <v>si</v>
      </c>
      <c r="L16" s="2" t="s">
        <v>297</v>
      </c>
      <c r="M16" s="106" t="str" cm="1">
        <f t="array" aca="1" ref="M16" ca="1">INDIRECT("'" &amp; L16 &amp; "'!$d$10")</f>
        <v>si</v>
      </c>
      <c r="O16" s="2" t="s">
        <v>297</v>
      </c>
      <c r="P16" s="106" t="str" cm="1">
        <f t="array" aca="1" ref="P16" ca="1">INDIRECT("'" &amp; O16 &amp; "'!$d$11")</f>
        <v>si</v>
      </c>
      <c r="R16" s="2" t="s">
        <v>297</v>
      </c>
      <c r="S16" s="106" t="str" cm="1">
        <f t="array" aca="1" ref="S16" ca="1">INDIRECT("'" &amp; R16 &amp; "'!$d$12")</f>
        <v>no</v>
      </c>
    </row>
    <row r="17" spans="3:19" x14ac:dyDescent="0.3">
      <c r="C17" s="2" t="s">
        <v>298</v>
      </c>
      <c r="D17" s="106" cm="1">
        <f t="array" aca="1" ref="D17" ca="1">INDIRECT("'" &amp; C17 &amp; "'!$d$4")</f>
        <v>31</v>
      </c>
      <c r="E17" s="106"/>
      <c r="F17" s="2" t="s">
        <v>298</v>
      </c>
      <c r="G17" s="106" t="str" cm="1">
        <f t="array" aca="1" ref="G17" ca="1">INDIRECT("'" &amp; F17 &amp; "'!$d$5")</f>
        <v>M</v>
      </c>
      <c r="I17" s="2" t="s">
        <v>298</v>
      </c>
      <c r="J17" s="106" t="str" cm="1">
        <f t="array" aca="1" ref="J17" ca="1">INDIRECT("'" &amp; I17 &amp; "'!$d$9")</f>
        <v>si</v>
      </c>
      <c r="L17" s="2" t="s">
        <v>298</v>
      </c>
      <c r="M17" s="106" t="str" cm="1">
        <f t="array" aca="1" ref="M17" ca="1">INDIRECT("'" &amp; L17 &amp; "'!$d$10")</f>
        <v>si</v>
      </c>
      <c r="O17" s="2" t="s">
        <v>298</v>
      </c>
      <c r="P17" s="106" t="str" cm="1">
        <f t="array" aca="1" ref="P17" ca="1">INDIRECT("'" &amp; O17 &amp; "'!$d$11")</f>
        <v>si</v>
      </c>
      <c r="R17" s="2" t="s">
        <v>298</v>
      </c>
      <c r="S17" s="106" t="str" cm="1">
        <f t="array" aca="1" ref="S17" ca="1">INDIRECT("'" &amp; R17 &amp; "'!$d$12")</f>
        <v>no</v>
      </c>
    </row>
    <row r="18" spans="3:19" x14ac:dyDescent="0.3">
      <c r="C18" s="2" t="s">
        <v>299</v>
      </c>
      <c r="D18" s="106" cm="1">
        <f t="array" aca="1" ref="D18" ca="1">INDIRECT("'" &amp; C18 &amp; "'!$d$4")</f>
        <v>24</v>
      </c>
      <c r="E18" s="106"/>
      <c r="F18" s="2" t="s">
        <v>299</v>
      </c>
      <c r="G18" s="106" t="str" cm="1">
        <f t="array" aca="1" ref="G18" ca="1">INDIRECT("'" &amp; F18 &amp; "'!$d$5")</f>
        <v>M</v>
      </c>
      <c r="I18" s="2" t="s">
        <v>299</v>
      </c>
      <c r="J18" s="106" t="str" cm="1">
        <f t="array" aca="1" ref="J18" ca="1">INDIRECT("'" &amp; I18 &amp; "'!$d$9")</f>
        <v>no</v>
      </c>
      <c r="L18" s="2" t="s">
        <v>299</v>
      </c>
      <c r="M18" s="106" t="str" cm="1">
        <f t="array" aca="1" ref="M18" ca="1">INDIRECT("'" &amp; L18 &amp; "'!$d$10")</f>
        <v>no</v>
      </c>
      <c r="O18" s="2" t="s">
        <v>299</v>
      </c>
      <c r="P18" s="106" t="str" cm="1">
        <f t="array" aca="1" ref="P18" ca="1">INDIRECT("'" &amp; O18 &amp; "'!$d$11")</f>
        <v>si</v>
      </c>
      <c r="R18" s="2" t="s">
        <v>299</v>
      </c>
      <c r="S18" s="106" t="str" cm="1">
        <f t="array" aca="1" ref="S18" ca="1">INDIRECT("'" &amp; R18 &amp; "'!$d$12")</f>
        <v>si</v>
      </c>
    </row>
    <row r="19" spans="3:19" x14ac:dyDescent="0.3">
      <c r="C19" s="2" t="s">
        <v>395</v>
      </c>
      <c r="D19" s="106" cm="1">
        <f t="array" aca="1" ref="D19" ca="1">INDIRECT("'" &amp; C19 &amp; "'!$d$4")</f>
        <v>26</v>
      </c>
      <c r="E19" s="106"/>
      <c r="F19" s="2" t="s">
        <v>395</v>
      </c>
      <c r="G19" s="106" t="str" cm="1">
        <f t="array" aca="1" ref="G19" ca="1">INDIRECT("'" &amp; F19 &amp; "'!$d$5")</f>
        <v>F</v>
      </c>
      <c r="I19" s="2" t="s">
        <v>395</v>
      </c>
      <c r="J19" s="106" t="str" cm="1">
        <f t="array" aca="1" ref="J19" ca="1">INDIRECT("'" &amp; I19 &amp; "'!$d$9")</f>
        <v>si</v>
      </c>
      <c r="L19" s="2" t="s">
        <v>395</v>
      </c>
      <c r="M19" s="106" t="str" cm="1">
        <f t="array" aca="1" ref="M19" ca="1">INDIRECT("'" &amp; L19 &amp; "'!$d$10")</f>
        <v>si</v>
      </c>
      <c r="O19" s="2" t="s">
        <v>395</v>
      </c>
      <c r="P19" s="106" t="str" cm="1">
        <f t="array" aca="1" ref="P19" ca="1">INDIRECT("'" &amp; O19 &amp; "'!$d$11")</f>
        <v>si</v>
      </c>
      <c r="R19" s="2" t="s">
        <v>395</v>
      </c>
      <c r="S19" s="106" t="str" cm="1">
        <f t="array" aca="1" ref="S19" ca="1">INDIRECT("'" &amp; R19 &amp; "'!$d$12")</f>
        <v>no</v>
      </c>
    </row>
    <row r="20" spans="3:19" x14ac:dyDescent="0.3">
      <c r="C20" s="2" t="s">
        <v>396</v>
      </c>
      <c r="D20" s="106" cm="1">
        <f t="array" aca="1" ref="D20" ca="1">INDIRECT("'" &amp; C20 &amp; "'!$d$4")</f>
        <v>25</v>
      </c>
      <c r="E20" s="106"/>
      <c r="F20" s="2" t="s">
        <v>396</v>
      </c>
      <c r="G20" s="106" t="str" cm="1">
        <f t="array" aca="1" ref="G20" ca="1">INDIRECT("'" &amp; F20 &amp; "'!$d$5")</f>
        <v>F</v>
      </c>
      <c r="I20" s="2" t="s">
        <v>396</v>
      </c>
      <c r="J20" s="106" t="str" cm="1">
        <f t="array" aca="1" ref="J20" ca="1">INDIRECT("'" &amp; I20 &amp; "'!$d$9")</f>
        <v>si</v>
      </c>
      <c r="L20" s="2" t="s">
        <v>396</v>
      </c>
      <c r="M20" s="106" t="str" cm="1">
        <f t="array" aca="1" ref="M20" ca="1">INDIRECT("'" &amp; L20 &amp; "'!$d$10")</f>
        <v>si</v>
      </c>
      <c r="O20" s="2" t="s">
        <v>396</v>
      </c>
      <c r="P20" s="106" t="str" cm="1">
        <f t="array" aca="1" ref="P20" ca="1">INDIRECT("'" &amp; O20 &amp; "'!$d$11")</f>
        <v>si</v>
      </c>
      <c r="R20" s="2" t="s">
        <v>396</v>
      </c>
      <c r="S20" s="106" t="str" cm="1">
        <f t="array" aca="1" ref="S20" ca="1">INDIRECT("'" &amp; R20 &amp; "'!$d$12")</f>
        <v>si</v>
      </c>
    </row>
    <row r="21" spans="3:19" x14ac:dyDescent="0.3">
      <c r="C21" s="2" t="s">
        <v>397</v>
      </c>
      <c r="D21" s="106" cm="1">
        <f t="array" aca="1" ref="D21" ca="1">INDIRECT("'" &amp; C21 &amp; "'!$d$4")</f>
        <v>24</v>
      </c>
      <c r="E21" s="106"/>
      <c r="F21" s="2" t="s">
        <v>397</v>
      </c>
      <c r="G21" s="106" t="str" cm="1">
        <f t="array" aca="1" ref="G21" ca="1">INDIRECT("'" &amp; F21 &amp; "'!$d$5")</f>
        <v>M</v>
      </c>
      <c r="I21" s="2" t="s">
        <v>397</v>
      </c>
      <c r="J21" s="106" t="str" cm="1">
        <f t="array" aca="1" ref="J21" ca="1">INDIRECT("'" &amp; I21 &amp; "'!$d$9")</f>
        <v>si</v>
      </c>
      <c r="L21" s="2" t="s">
        <v>397</v>
      </c>
      <c r="M21" s="106" t="str" cm="1">
        <f t="array" aca="1" ref="M21" ca="1">INDIRECT("'" &amp; L21 &amp; "'!$d$10")</f>
        <v>si</v>
      </c>
      <c r="O21" s="2" t="s">
        <v>397</v>
      </c>
      <c r="P21" s="106" t="str" cm="1">
        <f t="array" aca="1" ref="P21" ca="1">INDIRECT("'" &amp; O21 &amp; "'!$d$11")</f>
        <v>si</v>
      </c>
      <c r="R21" s="2" t="s">
        <v>397</v>
      </c>
      <c r="S21" s="106" t="str" cm="1">
        <f t="array" aca="1" ref="S21" ca="1">INDIRECT("'" &amp; R21 &amp; "'!$d$12")</f>
        <v>si</v>
      </c>
    </row>
    <row r="22" spans="3:19" x14ac:dyDescent="0.3">
      <c r="C22" s="2" t="s">
        <v>398</v>
      </c>
      <c r="D22" s="106" cm="1">
        <f t="array" aca="1" ref="D22" ca="1">INDIRECT("'" &amp; C22 &amp; "'!$d$4")</f>
        <v>26</v>
      </c>
      <c r="E22" s="106"/>
      <c r="F22" s="2" t="s">
        <v>398</v>
      </c>
      <c r="G22" s="106" t="str" cm="1">
        <f t="array" aca="1" ref="G22" ca="1">INDIRECT("'" &amp; F22 &amp; "'!$d$5")</f>
        <v>M</v>
      </c>
      <c r="I22" s="2" t="s">
        <v>398</v>
      </c>
      <c r="J22" s="106" t="str" cm="1">
        <f t="array" aca="1" ref="J22" ca="1">INDIRECT("'" &amp; I22 &amp; "'!$d$9")</f>
        <v>si</v>
      </c>
      <c r="L22" s="2" t="s">
        <v>398</v>
      </c>
      <c r="M22" s="106" t="str" cm="1">
        <f t="array" aca="1" ref="M22" ca="1">INDIRECT("'" &amp; L22 &amp; "'!$d$10")</f>
        <v>si</v>
      </c>
      <c r="O22" s="2" t="s">
        <v>398</v>
      </c>
      <c r="P22" s="106" t="str" cm="1">
        <f t="array" aca="1" ref="P22" ca="1">INDIRECT("'" &amp; O22 &amp; "'!$d$11")</f>
        <v>si</v>
      </c>
      <c r="R22" s="2" t="s">
        <v>398</v>
      </c>
      <c r="S22" s="106" t="str" cm="1">
        <f t="array" aca="1" ref="S22" ca="1">INDIRECT("'" &amp; R22 &amp; "'!$d$12")</f>
        <v>si</v>
      </c>
    </row>
    <row r="23" spans="3:19" x14ac:dyDescent="0.3">
      <c r="C23" s="2" t="s">
        <v>399</v>
      </c>
      <c r="D23" s="106" cm="1">
        <f t="array" aca="1" ref="D23" ca="1">INDIRECT("'" &amp; C23 &amp; "'!$d$4")</f>
        <v>23</v>
      </c>
      <c r="E23" s="106"/>
      <c r="F23" s="2" t="s">
        <v>399</v>
      </c>
      <c r="G23" s="106" t="str" cm="1">
        <f t="array" aca="1" ref="G23" ca="1">INDIRECT("'" &amp; F23 &amp; "'!$d$5")</f>
        <v>F</v>
      </c>
      <c r="I23" s="2" t="s">
        <v>399</v>
      </c>
      <c r="J23" s="106" t="str" cm="1">
        <f t="array" aca="1" ref="J23" ca="1">INDIRECT("'" &amp; I23 &amp; "'!$d$9")</f>
        <v>no</v>
      </c>
      <c r="L23" s="2" t="s">
        <v>399</v>
      </c>
      <c r="M23" s="106" t="str" cm="1">
        <f t="array" aca="1" ref="M23" ca="1">INDIRECT("'" &amp; L23 &amp; "'!$d$10")</f>
        <v>no</v>
      </c>
      <c r="O23" s="2" t="s">
        <v>399</v>
      </c>
      <c r="P23" s="106" t="str" cm="1">
        <f t="array" aca="1" ref="P23" ca="1">INDIRECT("'" &amp; O23 &amp; "'!$d$11")</f>
        <v>no</v>
      </c>
      <c r="R23" s="2" t="s">
        <v>399</v>
      </c>
      <c r="S23" s="106" t="str" cm="1">
        <f t="array" aca="1" ref="S23" ca="1">INDIRECT("'" &amp; R23 &amp; "'!$d$12")</f>
        <v>si</v>
      </c>
    </row>
    <row r="24" spans="3:19" x14ac:dyDescent="0.3">
      <c r="C24" s="2" t="s">
        <v>400</v>
      </c>
      <c r="D24" s="106" cm="1">
        <f t="array" aca="1" ref="D24" ca="1">INDIRECT("'" &amp; C24 &amp; "'!$d$4")</f>
        <v>24</v>
      </c>
      <c r="E24" s="106"/>
      <c r="F24" s="2" t="s">
        <v>400</v>
      </c>
      <c r="G24" s="106" t="str" cm="1">
        <f t="array" aca="1" ref="G24" ca="1">INDIRECT("'" &amp; F24 &amp; "'!$d$5")</f>
        <v>M</v>
      </c>
      <c r="I24" s="2" t="s">
        <v>400</v>
      </c>
      <c r="J24" s="106" t="str" cm="1">
        <f t="array" aca="1" ref="J24" ca="1">INDIRECT("'" &amp; I24 &amp; "'!$d$9")</f>
        <v>si</v>
      </c>
      <c r="L24" s="2" t="s">
        <v>400</v>
      </c>
      <c r="M24" s="106" t="str" cm="1">
        <f t="array" aca="1" ref="M24" ca="1">INDIRECT("'" &amp; L24 &amp; "'!$d$10")</f>
        <v>si</v>
      </c>
      <c r="O24" s="2" t="s">
        <v>400</v>
      </c>
      <c r="P24" s="106" t="str" cm="1">
        <f t="array" aca="1" ref="P24" ca="1">INDIRECT("'" &amp; O24 &amp; "'!$d$11")</f>
        <v>si</v>
      </c>
      <c r="R24" s="2" t="s">
        <v>400</v>
      </c>
      <c r="S24" s="106" t="str" cm="1">
        <f t="array" aca="1" ref="S24" ca="1">INDIRECT("'" &amp; R24 &amp; "'!$d$12")</f>
        <v>si</v>
      </c>
    </row>
    <row r="25" spans="3:19" x14ac:dyDescent="0.3">
      <c r="I25" s="2"/>
      <c r="J25" s="106"/>
      <c r="L25" s="2"/>
      <c r="M25" s="106"/>
      <c r="O25" s="2"/>
      <c r="P25" s="106"/>
    </row>
    <row r="26" spans="3:19" x14ac:dyDescent="0.3">
      <c r="C26" s="80" t="s">
        <v>405</v>
      </c>
      <c r="D26" s="106">
        <f ca="1">AVERAGE(D4:D24)</f>
        <v>24.80952380952381</v>
      </c>
      <c r="E26" s="106"/>
      <c r="F26" s="80" t="s">
        <v>242</v>
      </c>
      <c r="G26" s="128">
        <f>8/21</f>
        <v>0.38095238095238093</v>
      </c>
      <c r="I26" s="47" t="s">
        <v>60</v>
      </c>
      <c r="J26" s="128">
        <f>15/21</f>
        <v>0.7142857142857143</v>
      </c>
      <c r="L26" s="47" t="s">
        <v>60</v>
      </c>
      <c r="M26" s="128">
        <f>14/21</f>
        <v>0.66666666666666663</v>
      </c>
      <c r="O26" s="47" t="s">
        <v>60</v>
      </c>
      <c r="P26" s="128">
        <f>19/21</f>
        <v>0.90476190476190477</v>
      </c>
      <c r="R26" s="47" t="s">
        <v>60</v>
      </c>
      <c r="S26" s="128">
        <f>13/21</f>
        <v>0.61904761904761907</v>
      </c>
    </row>
    <row r="27" spans="3:19" x14ac:dyDescent="0.3">
      <c r="D27" s="106"/>
      <c r="E27" s="106"/>
      <c r="F27" s="47" t="s">
        <v>7</v>
      </c>
      <c r="G27" s="129">
        <f>13/21</f>
        <v>0.61904761904761907</v>
      </c>
      <c r="I27" s="47" t="s">
        <v>243</v>
      </c>
      <c r="J27" s="128">
        <f>6/21</f>
        <v>0.2857142857142857</v>
      </c>
      <c r="L27" s="47" t="s">
        <v>243</v>
      </c>
      <c r="M27" s="128">
        <f>7/21</f>
        <v>0.33333333333333331</v>
      </c>
      <c r="O27" s="47" t="s">
        <v>243</v>
      </c>
      <c r="P27" s="128">
        <f>2/21</f>
        <v>9.5238095238095233E-2</v>
      </c>
      <c r="R27" s="47" t="s">
        <v>243</v>
      </c>
      <c r="S27" s="128">
        <f>8/21</f>
        <v>0.38095238095238093</v>
      </c>
    </row>
    <row r="30" spans="3:19" x14ac:dyDescent="0.3">
      <c r="C30" t="s">
        <v>300</v>
      </c>
      <c r="F30" t="s">
        <v>300</v>
      </c>
    </row>
    <row r="32" spans="3:19" x14ac:dyDescent="0.3">
      <c r="C32" s="135"/>
      <c r="D32" s="135" t="s">
        <v>379</v>
      </c>
      <c r="F32" s="135"/>
      <c r="G32" s="135" t="s">
        <v>379</v>
      </c>
    </row>
    <row r="33" spans="3:7" x14ac:dyDescent="0.3">
      <c r="C33" t="s">
        <v>301</v>
      </c>
      <c r="D33" s="141">
        <f ca="1">AVERAGE(D4:D24)</f>
        <v>24.80952380952381</v>
      </c>
      <c r="F33" t="s">
        <v>301</v>
      </c>
      <c r="G33" s="141" t="e">
        <f ca="1">AVERAGE(G4:G24)</f>
        <v>#DIV/0!</v>
      </c>
    </row>
    <row r="34" spans="3:7" x14ac:dyDescent="0.3">
      <c r="C34" t="s">
        <v>302</v>
      </c>
      <c r="D34">
        <f ca="1">_xlfn.STDEV.S(D4:D24)/SQRT(COUNT(D4:D24))</f>
        <v>0.55040698197332916</v>
      </c>
      <c r="F34" t="s">
        <v>302</v>
      </c>
      <c r="G34" t="e">
        <f ca="1">_xlfn.STDEV.S(G4:G24)/SQRT(COUNT(G4:G24))</f>
        <v>#DIV/0!</v>
      </c>
    </row>
    <row r="35" spans="3:7" x14ac:dyDescent="0.3">
      <c r="C35" t="s">
        <v>303</v>
      </c>
      <c r="D35" s="141">
        <f ca="1">MEDIAN(D4:D24)</f>
        <v>24</v>
      </c>
      <c r="F35" t="s">
        <v>303</v>
      </c>
      <c r="G35" s="141" t="e">
        <f ca="1">MEDIAN(G4:G24)</f>
        <v>#NUM!</v>
      </c>
    </row>
    <row r="36" spans="3:7" x14ac:dyDescent="0.3">
      <c r="C36" t="s">
        <v>304</v>
      </c>
      <c r="D36">
        <f ca="1">MODE(D4:D24)</f>
        <v>24</v>
      </c>
      <c r="F36" t="s">
        <v>304</v>
      </c>
      <c r="G36" t="e">
        <f ca="1">MODE(G4:G24)</f>
        <v>#N/A</v>
      </c>
    </row>
    <row r="37" spans="3:7" x14ac:dyDescent="0.3">
      <c r="C37" t="s">
        <v>305</v>
      </c>
      <c r="D37">
        <f ca="1">_xlfn.STDEV.S(D4:D24)</f>
        <v>2.5222816579249754</v>
      </c>
      <c r="F37" t="s">
        <v>305</v>
      </c>
      <c r="G37" t="e">
        <f ca="1">_xlfn.STDEV.S(G4:G24)</f>
        <v>#DIV/0!</v>
      </c>
    </row>
    <row r="38" spans="3:7" x14ac:dyDescent="0.3">
      <c r="C38" t="s">
        <v>306</v>
      </c>
      <c r="D38">
        <f ca="1">_xlfn.VAR.S(D4:D24)</f>
        <v>6.3619047619047624</v>
      </c>
      <c r="F38" t="s">
        <v>306</v>
      </c>
      <c r="G38" t="e">
        <f ca="1">_xlfn.VAR.S(G4:G24)</f>
        <v>#DIV/0!</v>
      </c>
    </row>
    <row r="39" spans="3:7" x14ac:dyDescent="0.3">
      <c r="C39" t="s">
        <v>307</v>
      </c>
      <c r="D39">
        <f ca="1">KURT(D4:D24)</f>
        <v>0.68740847174229947</v>
      </c>
      <c r="F39" t="s">
        <v>307</v>
      </c>
      <c r="G39" t="e">
        <f ca="1">KURT(G4:G24)</f>
        <v>#DIV/0!</v>
      </c>
    </row>
    <row r="40" spans="3:7" x14ac:dyDescent="0.3">
      <c r="C40" t="s">
        <v>308</v>
      </c>
      <c r="D40">
        <f ca="1">SKEW(D4:D24)</f>
        <v>0.87769582951640401</v>
      </c>
      <c r="F40" t="s">
        <v>308</v>
      </c>
      <c r="G40" t="e">
        <f ca="1">SKEW(G4:G24)</f>
        <v>#DIV/0!</v>
      </c>
    </row>
    <row r="41" spans="3:7" x14ac:dyDescent="0.3">
      <c r="C41" t="s">
        <v>309</v>
      </c>
      <c r="D41">
        <f ca="1">D42-D43</f>
        <v>10</v>
      </c>
      <c r="F41" t="s">
        <v>309</v>
      </c>
      <c r="G41" s="141">
        <f ca="1">G42-G43</f>
        <v>0</v>
      </c>
    </row>
    <row r="42" spans="3:7" x14ac:dyDescent="0.3">
      <c r="C42" t="s">
        <v>310</v>
      </c>
      <c r="D42" s="141">
        <f ca="1">MAX(D4:D24)</f>
        <v>31</v>
      </c>
      <c r="F42" t="s">
        <v>310</v>
      </c>
      <c r="G42" s="141">
        <f ca="1">MAX(G4:G24)</f>
        <v>0</v>
      </c>
    </row>
    <row r="43" spans="3:7" x14ac:dyDescent="0.3">
      <c r="C43" t="s">
        <v>311</v>
      </c>
      <c r="D43" s="141">
        <f ca="1">MIN(D4:D24)</f>
        <v>21</v>
      </c>
      <c r="F43" t="s">
        <v>311</v>
      </c>
      <c r="G43" s="141">
        <f ca="1">MIN(G4:G24)</f>
        <v>0</v>
      </c>
    </row>
    <row r="44" spans="3:7" x14ac:dyDescent="0.3">
      <c r="C44" t="s">
        <v>312</v>
      </c>
      <c r="D44" s="141">
        <f ca="1">SUM(D4:D24)</f>
        <v>521</v>
      </c>
      <c r="F44" t="s">
        <v>312</v>
      </c>
      <c r="G44" s="141">
        <f ca="1">SUM(G4:G24)</f>
        <v>0</v>
      </c>
    </row>
    <row r="45" spans="3:7" x14ac:dyDescent="0.3">
      <c r="C45" t="s">
        <v>313</v>
      </c>
      <c r="D45">
        <f ca="1">COUNT(D4:D24)</f>
        <v>21</v>
      </c>
      <c r="F45" t="s">
        <v>313</v>
      </c>
      <c r="G45">
        <f ca="1">COUNT(G4:G24)</f>
        <v>0</v>
      </c>
    </row>
    <row r="46" spans="3:7" x14ac:dyDescent="0.3">
      <c r="C46" t="s">
        <v>314</v>
      </c>
      <c r="D46">
        <f ca="1">GEOMEAN(D4:D24)</f>
        <v>24.69251086792649</v>
      </c>
      <c r="F46" t="s">
        <v>314</v>
      </c>
      <c r="G46" t="e">
        <f ca="1">GEOMEAN(G4:G24)</f>
        <v>#NUM!</v>
      </c>
    </row>
    <row r="47" spans="3:7" x14ac:dyDescent="0.3">
      <c r="C47" t="s">
        <v>315</v>
      </c>
      <c r="D47">
        <f ca="1">HARMEAN(D4:D24)</f>
        <v>24.580312391057276</v>
      </c>
      <c r="F47" t="s">
        <v>315</v>
      </c>
      <c r="G47" t="e">
        <f ca="1">HARMEAN(G4:G24)</f>
        <v>#N/A</v>
      </c>
    </row>
    <row r="48" spans="3:7" x14ac:dyDescent="0.3">
      <c r="C48" t="s">
        <v>316</v>
      </c>
      <c r="D48">
        <f ca="1">AVEDEV(D4:D24)</f>
        <v>1.8956916099773242</v>
      </c>
      <c r="F48" t="s">
        <v>316</v>
      </c>
      <c r="G48" t="e">
        <f ca="1">AVEDEV(G4:G24)</f>
        <v>#NUM!</v>
      </c>
    </row>
    <row r="49" spans="3:7" x14ac:dyDescent="0.3">
      <c r="C49" t="s">
        <v>317</v>
      </c>
      <c r="D49">
        <f ca="1">[1]!MAD(D4:D24)</f>
        <v>2</v>
      </c>
      <c r="F49" t="s">
        <v>317</v>
      </c>
      <c r="G49" t="e">
        <f ca="1">[1]!MAD(G4:G24)</f>
        <v>#VALUE!</v>
      </c>
    </row>
    <row r="50" spans="3:7" x14ac:dyDescent="0.3">
      <c r="C50" s="134" t="s">
        <v>318</v>
      </c>
      <c r="D50" s="134">
        <f ca="1">[1]!IQR(D4:D24,FALSE)</f>
        <v>3</v>
      </c>
      <c r="F50" s="134" t="s">
        <v>318</v>
      </c>
      <c r="G50" s="134" t="e">
        <f ca="1">[1]!IQR(G4:G24,FALSE)</f>
        <v>#VALUE!</v>
      </c>
    </row>
  </sheetData>
  <pageMargins left="0.7" right="0.7" top="0.75" bottom="0.75" header="0.3" footer="0.3"/>
  <pageSetup paperSize="9" scale="4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76CB4-60B7-46F9-B7A7-B72C71A560EA}">
  <sheetPr>
    <tabColor theme="8" tint="0.79998168889431442"/>
  </sheetPr>
  <dimension ref="C3:M32"/>
  <sheetViews>
    <sheetView zoomScale="66" zoomScaleNormal="91" zoomScaleSheetLayoutView="89" workbookViewId="0">
      <selection activeCell="E30" sqref="E30:I31"/>
    </sheetView>
  </sheetViews>
  <sheetFormatPr defaultRowHeight="14.4" x14ac:dyDescent="0.3"/>
  <cols>
    <col min="4" max="4" width="13.6640625" customWidth="1"/>
    <col min="5" max="5" width="13.77734375" bestFit="1" customWidth="1"/>
  </cols>
  <sheetData>
    <row r="3" spans="3:13" x14ac:dyDescent="0.3">
      <c r="C3" s="2"/>
      <c r="D3" s="59" t="s">
        <v>404</v>
      </c>
      <c r="E3" s="2"/>
    </row>
    <row r="4" spans="3:13" x14ac:dyDescent="0.3">
      <c r="C4" s="2"/>
      <c r="D4" s="2"/>
      <c r="E4" s="2"/>
    </row>
    <row r="5" spans="3:13" x14ac:dyDescent="0.3">
      <c r="C5" s="2" t="s">
        <v>285</v>
      </c>
      <c r="D5" s="37" cm="1">
        <f t="array" aca="1" ref="D5" ca="1">INDIRECT("'" &amp; C5 &amp; "'!$J$19")</f>
        <v>3.2</v>
      </c>
      <c r="E5" s="37"/>
      <c r="F5" t="s">
        <v>300</v>
      </c>
      <c r="I5" t="s">
        <v>319</v>
      </c>
      <c r="J5" s="87">
        <v>2.2000000000000002</v>
      </c>
      <c r="L5" t="s">
        <v>331</v>
      </c>
    </row>
    <row r="6" spans="3:13" x14ac:dyDescent="0.3">
      <c r="C6" s="2" t="s">
        <v>286</v>
      </c>
      <c r="D6" s="37" cm="1">
        <f t="array" aca="1" ref="D6" ca="1">INDIRECT("'" &amp; C6 &amp; "'!$J$19")</f>
        <v>3.8</v>
      </c>
      <c r="E6" s="37"/>
    </row>
    <row r="7" spans="3:13" x14ac:dyDescent="0.3">
      <c r="C7" s="2" t="s">
        <v>287</v>
      </c>
      <c r="D7" s="37" cm="1">
        <f t="array" aca="1" ref="D7" ca="1">INDIRECT("'" &amp; C7 &amp; "'!$J$19")</f>
        <v>4.5999999999999996</v>
      </c>
      <c r="E7" s="37"/>
      <c r="F7" s="64"/>
      <c r="G7" s="64" t="s">
        <v>379</v>
      </c>
      <c r="J7" s="79" t="s">
        <v>379</v>
      </c>
      <c r="L7" s="64"/>
      <c r="M7" s="64" t="s">
        <v>379</v>
      </c>
    </row>
    <row r="8" spans="3:13" x14ac:dyDescent="0.3">
      <c r="C8" s="2" t="s">
        <v>288</v>
      </c>
      <c r="D8" s="37" cm="1">
        <f t="array" aca="1" ref="D8" ca="1">INDIRECT("'" &amp; C8 &amp; "'!$J$19")</f>
        <v>2.2999999999999998</v>
      </c>
      <c r="E8" s="37"/>
      <c r="F8" t="s">
        <v>301</v>
      </c>
      <c r="G8" s="65">
        <f ca="1">AVERAGE(D5:D25)</f>
        <v>3.39047619047619</v>
      </c>
      <c r="I8" t="s">
        <v>322</v>
      </c>
      <c r="J8" s="88">
        <f ca="1">J15-$J22</f>
        <v>1.8</v>
      </c>
      <c r="L8" t="s">
        <v>332</v>
      </c>
      <c r="M8">
        <f ca="1">[1]!SHAPIRO(D5:D25)</f>
        <v>0.9869094275181296</v>
      </c>
    </row>
    <row r="9" spans="3:13" x14ac:dyDescent="0.3">
      <c r="C9" s="2" t="s">
        <v>289</v>
      </c>
      <c r="D9" s="37" cm="1">
        <f t="array" aca="1" ref="D9" ca="1">INDIRECT("'" &amp; C9 &amp; "'!$J$19")</f>
        <v>2.4</v>
      </c>
      <c r="E9" s="37"/>
      <c r="F9" t="s">
        <v>302</v>
      </c>
      <c r="G9">
        <f ca="1">_xlfn.STDEV.S(D5:D25)/SQRT(COUNT(D5:D25))</f>
        <v>0.18732512631210463</v>
      </c>
      <c r="I9" t="s">
        <v>326</v>
      </c>
      <c r="J9" s="74">
        <f ca="1">MAX(J16-J15,0)</f>
        <v>0.90000000000000013</v>
      </c>
      <c r="L9" t="s">
        <v>333</v>
      </c>
      <c r="M9">
        <f ca="1">[1]!SWTEST(D5:D25)</f>
        <v>0.9892362598106188</v>
      </c>
    </row>
    <row r="10" spans="3:13" x14ac:dyDescent="0.3">
      <c r="C10" s="2" t="s">
        <v>290</v>
      </c>
      <c r="D10" s="37" cm="1">
        <f t="array" aca="1" ref="D10" ca="1">INDIRECT("'" &amp; C10 &amp; "'!$J$19")</f>
        <v>3.9</v>
      </c>
      <c r="E10" s="37"/>
      <c r="F10" t="s">
        <v>303</v>
      </c>
      <c r="G10" s="65">
        <f ca="1">MEDIAN(D5:D25)</f>
        <v>3.4</v>
      </c>
      <c r="I10" t="s">
        <v>327</v>
      </c>
      <c r="J10" s="74">
        <f t="shared" ref="J10:J12" ca="1" si="0">MAX(J17-J16,0)</f>
        <v>0.69999999999999973</v>
      </c>
      <c r="L10" t="s">
        <v>334</v>
      </c>
      <c r="M10">
        <v>0.05</v>
      </c>
    </row>
    <row r="11" spans="3:13" x14ac:dyDescent="0.3">
      <c r="C11" s="2" t="s">
        <v>291</v>
      </c>
      <c r="D11" s="37" cm="1">
        <f t="array" aca="1" ref="D11" ca="1">INDIRECT("'" &amp; C11 &amp; "'!$J$19")</f>
        <v>2.9</v>
      </c>
      <c r="E11" s="37"/>
      <c r="F11" t="s">
        <v>304</v>
      </c>
      <c r="G11">
        <f ca="1">MODE(D5:D25)</f>
        <v>2.4</v>
      </c>
      <c r="I11" t="s">
        <v>328</v>
      </c>
      <c r="J11" s="74">
        <f t="shared" ca="1" si="0"/>
        <v>0.5</v>
      </c>
      <c r="L11" s="63" t="s">
        <v>335</v>
      </c>
      <c r="M11" s="66" t="str">
        <f ca="1">IF(M9&lt;M10,"no","yes")</f>
        <v>yes</v>
      </c>
    </row>
    <row r="12" spans="3:13" x14ac:dyDescent="0.3">
      <c r="C12" s="2" t="s">
        <v>292</v>
      </c>
      <c r="D12" s="37" cm="1">
        <f t="array" aca="1" ref="D12" ca="1">INDIRECT("'" &amp; C12 &amp; "'!$J$19")</f>
        <v>3.3</v>
      </c>
      <c r="E12" s="37"/>
      <c r="F12" t="s">
        <v>305</v>
      </c>
      <c r="G12">
        <f ca="1">_xlfn.STDEV.S(D5:D25)</f>
        <v>0.85843157089238331</v>
      </c>
      <c r="I12" t="s">
        <v>329</v>
      </c>
      <c r="J12" s="74">
        <f t="shared" ca="1" si="0"/>
        <v>1.3000000000000003</v>
      </c>
    </row>
    <row r="13" spans="3:13" x14ac:dyDescent="0.3">
      <c r="C13" s="2" t="s">
        <v>293</v>
      </c>
      <c r="D13" s="37" cm="1">
        <f t="array" aca="1" ref="D13" ca="1">INDIRECT("'" &amp; C13 &amp; "'!$J$19")</f>
        <v>2.7</v>
      </c>
      <c r="E13" s="37"/>
      <c r="F13" t="s">
        <v>306</v>
      </c>
      <c r="G13">
        <f ca="1">_xlfn.VAR.S(D5:D25)</f>
        <v>0.73690476190476484</v>
      </c>
      <c r="I13" t="s">
        <v>301</v>
      </c>
      <c r="J13" s="90">
        <f ca="1">J20-$J22</f>
        <v>3.39047619047619</v>
      </c>
      <c r="L13" t="s">
        <v>336</v>
      </c>
    </row>
    <row r="14" spans="3:13" x14ac:dyDescent="0.3">
      <c r="C14" s="2" t="s">
        <v>294</v>
      </c>
      <c r="D14" s="37" cm="1">
        <f t="array" aca="1" ref="D14" ca="1">INDIRECT("'" &amp; C14 &amp; "'!$J$19")</f>
        <v>1.8</v>
      </c>
      <c r="E14" s="37"/>
      <c r="F14" t="s">
        <v>307</v>
      </c>
      <c r="G14">
        <f ca="1">KURT(D5:D25)</f>
        <v>-0.33543665071945128</v>
      </c>
    </row>
    <row r="15" spans="3:13" x14ac:dyDescent="0.3">
      <c r="C15" s="2" t="s">
        <v>295</v>
      </c>
      <c r="D15" s="37" cm="1">
        <f t="array" aca="1" ref="D15" ca="1">INDIRECT("'" &amp; C15 &amp; "'!$J$19")</f>
        <v>5.2</v>
      </c>
      <c r="E15" s="37"/>
      <c r="F15" t="s">
        <v>308</v>
      </c>
      <c r="G15">
        <f ca="1">SKEW(D5:D25)</f>
        <v>0.18233216135988276</v>
      </c>
      <c r="I15" t="s">
        <v>322</v>
      </c>
      <c r="J15" s="88">
        <f t="array" aca="1" ref="J15" ca="1">MIN(IF(ISBLANK(D5:D25),"",IF(D5:D25&gt;=J16-$J5*(J18-J16),D5:D25,"")))</f>
        <v>1.8</v>
      </c>
      <c r="L15" s="85" t="s">
        <v>337</v>
      </c>
      <c r="M15" s="85">
        <f ca="1">[1]!DAGOSTINO(D5:D25)</f>
        <v>0.18048128900029117</v>
      </c>
    </row>
    <row r="16" spans="3:13" x14ac:dyDescent="0.3">
      <c r="C16" s="2" t="s">
        <v>296</v>
      </c>
      <c r="D16" s="37" cm="1">
        <f t="array" aca="1" ref="D16" ca="1">INDIRECT("'" &amp; C16 &amp; "'!$J$19")</f>
        <v>3.6</v>
      </c>
      <c r="E16" s="37"/>
      <c r="F16" t="s">
        <v>309</v>
      </c>
      <c r="G16">
        <f ca="1">G17-G18</f>
        <v>3.4000000000000004</v>
      </c>
      <c r="I16" t="s">
        <v>323</v>
      </c>
      <c r="J16" s="74">
        <f ca="1">_xlfn.QUARTILE.INC(D5:D25,1)</f>
        <v>2.7</v>
      </c>
      <c r="L16" t="s">
        <v>333</v>
      </c>
      <c r="M16">
        <f ca="1">[1]!DPTEST(D5:D25)</f>
        <v>0.91371127921863338</v>
      </c>
    </row>
    <row r="17" spans="3:13" x14ac:dyDescent="0.3">
      <c r="C17" s="2" t="s">
        <v>297</v>
      </c>
      <c r="D17" s="37" cm="1">
        <f t="array" aca="1" ref="D17" ca="1">INDIRECT("'" &amp; C17 &amp; "'!$J$19")</f>
        <v>3.9</v>
      </c>
      <c r="E17" s="37"/>
      <c r="F17" t="s">
        <v>310</v>
      </c>
      <c r="G17" s="65">
        <f ca="1">MAX(D5:D25)</f>
        <v>5.2</v>
      </c>
      <c r="I17" t="s">
        <v>303</v>
      </c>
      <c r="J17" s="89">
        <f ca="1">MEDIAN(D5:D25)</f>
        <v>3.4</v>
      </c>
      <c r="L17" t="s">
        <v>334</v>
      </c>
      <c r="M17">
        <v>0.05</v>
      </c>
    </row>
    <row r="18" spans="3:13" x14ac:dyDescent="0.3">
      <c r="C18" s="2" t="s">
        <v>298</v>
      </c>
      <c r="D18" s="37" cm="1">
        <f t="array" aca="1" ref="D18" ca="1">INDIRECT("'" &amp; C18 &amp; "'!$J$19")</f>
        <v>2.4</v>
      </c>
      <c r="E18" s="37"/>
      <c r="F18" t="s">
        <v>311</v>
      </c>
      <c r="G18" s="65">
        <f ca="1">MIN(D5:D25)</f>
        <v>1.8</v>
      </c>
      <c r="I18" t="s">
        <v>324</v>
      </c>
      <c r="J18" s="74">
        <f ca="1">_xlfn.QUARTILE.INC(D5:D25,3)</f>
        <v>3.9</v>
      </c>
      <c r="L18" s="63" t="s">
        <v>335</v>
      </c>
      <c r="M18" s="66" t="str">
        <f ca="1">IF(M16&lt;M17,"no","yes")</f>
        <v>yes</v>
      </c>
    </row>
    <row r="19" spans="3:13" x14ac:dyDescent="0.3">
      <c r="C19" s="2" t="s">
        <v>299</v>
      </c>
      <c r="D19" s="37" cm="1">
        <f t="array" aca="1" ref="D19" ca="1">INDIRECT("'" &amp; C19 &amp; "'!$J$19")</f>
        <v>3</v>
      </c>
      <c r="E19" s="37"/>
      <c r="F19" t="s">
        <v>312</v>
      </c>
      <c r="G19" s="65">
        <f ca="1">SUM(D5:D25)</f>
        <v>71.199999999999989</v>
      </c>
      <c r="I19" t="s">
        <v>325</v>
      </c>
      <c r="J19" s="74">
        <f t="array" aca="1" ref="J19" ca="1">MAX(IF(ISBLANK(D5:D25),"",IF(D5:D25&lt;=J18+$J5*(J18-J16),D5:D25,"")))</f>
        <v>5.2</v>
      </c>
    </row>
    <row r="20" spans="3:13" x14ac:dyDescent="0.3">
      <c r="C20" s="2" t="s">
        <v>395</v>
      </c>
      <c r="D20" s="37" cm="1">
        <f t="array" aca="1" ref="D20" ca="1">INDIRECT("'" &amp; C20 &amp; "'!$J$19")</f>
        <v>4.3</v>
      </c>
      <c r="E20" s="37"/>
      <c r="F20" t="s">
        <v>313</v>
      </c>
      <c r="G20">
        <f ca="1">COUNT(D5:D25)</f>
        <v>21</v>
      </c>
      <c r="I20" t="s">
        <v>301</v>
      </c>
      <c r="J20" s="90">
        <f ca="1">AVERAGE(D5:D25)</f>
        <v>3.39047619047619</v>
      </c>
    </row>
    <row r="21" spans="3:13" x14ac:dyDescent="0.3">
      <c r="C21" s="2" t="s">
        <v>396</v>
      </c>
      <c r="D21" s="37" cm="1">
        <f t="array" aca="1" ref="D21" ca="1">INDIRECT("'" &amp; C21 &amp; "'!$J$19")</f>
        <v>3.7</v>
      </c>
      <c r="E21" s="37"/>
      <c r="F21" t="s">
        <v>314</v>
      </c>
      <c r="G21">
        <f ca="1">GEOMEAN(D5:D25)</f>
        <v>3.2834628054474964</v>
      </c>
    </row>
    <row r="22" spans="3:13" x14ac:dyDescent="0.3">
      <c r="C22" s="2" t="s">
        <v>397</v>
      </c>
      <c r="D22" s="37" cm="1">
        <f t="array" aca="1" ref="D22" ca="1">INDIRECT("'" &amp; C22 &amp; "'!$J$19")</f>
        <v>3.4</v>
      </c>
      <c r="E22" s="37"/>
      <c r="F22" t="s">
        <v>315</v>
      </c>
      <c r="G22">
        <f ca="1">HARMEAN(D5:D25)</f>
        <v>3.1729221255658882</v>
      </c>
      <c r="I22" t="s">
        <v>320</v>
      </c>
      <c r="J22" s="87">
        <f ca="1">IF(MIN(J15)&gt;=0,0,MIN(J15))</f>
        <v>0</v>
      </c>
    </row>
    <row r="23" spans="3:13" x14ac:dyDescent="0.3">
      <c r="C23" s="2" t="s">
        <v>398</v>
      </c>
      <c r="D23" s="37" cm="1">
        <f t="array" aca="1" ref="D23" ca="1">INDIRECT("'" &amp; C23 &amp; "'!$J$19")</f>
        <v>2.7</v>
      </c>
      <c r="E23" s="37"/>
      <c r="F23" t="s">
        <v>316</v>
      </c>
      <c r="G23">
        <f ca="1">AVEDEV(D5:D25)</f>
        <v>0.68616780045351478</v>
      </c>
    </row>
    <row r="24" spans="3:13" x14ac:dyDescent="0.3">
      <c r="C24" s="2" t="s">
        <v>399</v>
      </c>
      <c r="D24" s="37" cm="1">
        <f t="array" aca="1" ref="D24" ca="1">INDIRECT("'" &amp; C24 &amp; "'!$J$19")</f>
        <v>4.5</v>
      </c>
      <c r="E24" s="37"/>
      <c r="F24" t="s">
        <v>317</v>
      </c>
      <c r="G24">
        <f ca="1">[1]!MAD(D5:D25)</f>
        <v>0.5</v>
      </c>
      <c r="I24" t="s">
        <v>321</v>
      </c>
      <c r="J24" t="s">
        <v>330</v>
      </c>
    </row>
    <row r="25" spans="3:13" x14ac:dyDescent="0.3">
      <c r="C25" s="2" t="s">
        <v>400</v>
      </c>
      <c r="D25" s="37" cm="1">
        <f t="array" aca="1" ref="D25" ca="1">INDIRECT("'" &amp; C25 &amp; "'!$J$19")</f>
        <v>3.6</v>
      </c>
      <c r="E25" s="37"/>
      <c r="F25" s="63" t="s">
        <v>318</v>
      </c>
      <c r="G25" s="63">
        <f ca="1">[1]!IQR(D5:D25,FALSE)</f>
        <v>1.1999999999999997</v>
      </c>
    </row>
    <row r="30" spans="3:13" ht="15" thickBot="1" x14ac:dyDescent="0.35">
      <c r="E30" s="150"/>
      <c r="F30" s="150" t="s">
        <v>301</v>
      </c>
      <c r="G30" s="151" t="s">
        <v>343</v>
      </c>
      <c r="H30" s="152" t="s">
        <v>333</v>
      </c>
      <c r="I30" s="152" t="s">
        <v>348</v>
      </c>
    </row>
    <row r="31" spans="3:13" ht="15" thickBot="1" x14ac:dyDescent="0.35">
      <c r="E31" s="150" t="s">
        <v>433</v>
      </c>
      <c r="F31" s="153">
        <v>3.39047619047619</v>
      </c>
      <c r="G31" s="151">
        <v>0.85843157089238331</v>
      </c>
      <c r="H31" s="150"/>
      <c r="I31" s="150"/>
    </row>
    <row r="32" spans="3:13" ht="15" thickBot="1" x14ac:dyDescent="0.35">
      <c r="E32" s="150" t="s">
        <v>432</v>
      </c>
      <c r="F32" s="153">
        <v>5.23</v>
      </c>
      <c r="G32" s="151">
        <v>0.53771999999999998</v>
      </c>
      <c r="H32" s="150">
        <v>8.6799999999999999E-6</v>
      </c>
      <c r="I32" s="150">
        <v>0.79779999999999995</v>
      </c>
    </row>
  </sheetData>
  <pageMargins left="0.7" right="0.7" top="0.75" bottom="0.75" header="0.3" footer="0.3"/>
  <pageSetup paperSize="9" scale="4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ED9EF-2403-4DC4-B319-35FE64738472}">
  <sheetPr>
    <tabColor theme="7" tint="0.59999389629810485"/>
  </sheetPr>
  <dimension ref="C3:AE285"/>
  <sheetViews>
    <sheetView showGridLines="0" topLeftCell="A87" zoomScale="77" zoomScaleNormal="70" zoomScaleSheetLayoutView="55" workbookViewId="0">
      <selection activeCell="S21" sqref="S21:W23"/>
    </sheetView>
  </sheetViews>
  <sheetFormatPr defaultRowHeight="14.4" x14ac:dyDescent="0.3"/>
  <cols>
    <col min="4" max="4" width="10.6640625" customWidth="1"/>
    <col min="5" max="5" width="9.109375" bestFit="1" customWidth="1"/>
    <col min="8" max="8" width="9.109375" bestFit="1" customWidth="1"/>
    <col min="11" max="11" width="9.109375" bestFit="1" customWidth="1"/>
    <col min="14" max="14" width="9.109375" bestFit="1" customWidth="1"/>
    <col min="17" max="17" width="9.109375" bestFit="1" customWidth="1"/>
    <col min="20" max="20" width="7.109375" customWidth="1"/>
    <col min="21" max="27" width="9.109375" bestFit="1" customWidth="1"/>
    <col min="29" max="29" width="15" customWidth="1"/>
    <col min="30" max="31" width="12.6640625" bestFit="1" customWidth="1"/>
  </cols>
  <sheetData>
    <row r="3" spans="3:31" x14ac:dyDescent="0.3">
      <c r="C3" s="2"/>
      <c r="D3" s="59" t="s">
        <v>54</v>
      </c>
      <c r="E3" s="2"/>
    </row>
    <row r="4" spans="3:31" x14ac:dyDescent="0.3">
      <c r="C4" s="2"/>
      <c r="D4" s="2" t="s">
        <v>430</v>
      </c>
      <c r="E4" s="2" t="s">
        <v>431</v>
      </c>
    </row>
    <row r="5" spans="3:31" x14ac:dyDescent="0.3">
      <c r="C5" s="2" t="s">
        <v>285</v>
      </c>
      <c r="D5" s="37" cm="1">
        <f t="array" aca="1" ref="D5" ca="1">INDIRECT("'" &amp; C5 &amp; "'!$L$38")</f>
        <v>5.0999999999999996</v>
      </c>
      <c r="E5" s="37" cm="1">
        <f t="array" aca="1" ref="E5" ca="1">INDIRECT("'" &amp; C5 &amp; "'!$M$38")</f>
        <v>5.5</v>
      </c>
      <c r="G5" t="s">
        <v>300</v>
      </c>
      <c r="J5" t="s">
        <v>331</v>
      </c>
      <c r="M5" t="s">
        <v>300</v>
      </c>
      <c r="P5" t="s">
        <v>331</v>
      </c>
      <c r="S5" t="s">
        <v>338</v>
      </c>
      <c r="AC5" t="s">
        <v>358</v>
      </c>
    </row>
    <row r="6" spans="3:31" x14ac:dyDescent="0.3">
      <c r="C6" s="2" t="s">
        <v>286</v>
      </c>
      <c r="D6" s="37" cm="1">
        <f t="array" aca="1" ref="D6" ca="1">INDIRECT("'" &amp; C6 &amp; "'!$L$38")</f>
        <v>4.5</v>
      </c>
      <c r="E6" s="37" cm="1">
        <f t="array" aca="1" ref="E6" ca="1">INDIRECT("'" &amp; C6 &amp; "'!$M$38")</f>
        <v>5</v>
      </c>
    </row>
    <row r="7" spans="3:31" ht="15" thickBot="1" x14ac:dyDescent="0.35">
      <c r="C7" s="2" t="s">
        <v>287</v>
      </c>
      <c r="D7" s="37" cm="1">
        <f t="array" aca="1" ref="D7" ca="1">INDIRECT("'" &amp; C7 &amp; "'!$L$38")</f>
        <v>5.4</v>
      </c>
      <c r="E7" s="37" cm="1">
        <f t="array" aca="1" ref="E7" ca="1">INDIRECT("'" &amp; C7 &amp; "'!$M$38")</f>
        <v>5.6</v>
      </c>
      <c r="G7" s="64"/>
      <c r="H7" s="64" t="s">
        <v>379</v>
      </c>
      <c r="J7" s="64"/>
      <c r="K7" s="64" t="s">
        <v>379</v>
      </c>
      <c r="M7" s="64"/>
      <c r="N7" s="64" t="s">
        <v>379</v>
      </c>
      <c r="P7" s="64"/>
      <c r="Q7" s="64" t="s">
        <v>379</v>
      </c>
      <c r="S7" t="s">
        <v>339</v>
      </c>
      <c r="V7" t="s">
        <v>340</v>
      </c>
      <c r="W7">
        <v>0.05</v>
      </c>
      <c r="Y7" t="s">
        <v>341</v>
      </c>
      <c r="Z7">
        <v>0</v>
      </c>
      <c r="AD7" t="s">
        <v>381</v>
      </c>
      <c r="AE7" t="s">
        <v>382</v>
      </c>
    </row>
    <row r="8" spans="3:31" ht="15" thickTop="1" x14ac:dyDescent="0.3">
      <c r="C8" s="2" t="s">
        <v>288</v>
      </c>
      <c r="D8" s="37" cm="1">
        <f t="array" aca="1" ref="D8" ca="1">INDIRECT("'" &amp; C8 &amp; "'!$L$38")</f>
        <v>5.4</v>
      </c>
      <c r="E8" s="37" cm="1">
        <f t="array" aca="1" ref="E8" ca="1">INDIRECT("'" &amp; C8 &amp; "'!$M$38")</f>
        <v>5.8</v>
      </c>
      <c r="G8" t="s">
        <v>301</v>
      </c>
      <c r="H8" s="65">
        <f ca="1">AVERAGE(D5:D25)</f>
        <v>4.9190476190476193</v>
      </c>
      <c r="J8" t="s">
        <v>332</v>
      </c>
      <c r="K8">
        <f ca="1">[1]!SHAPIRO(D5:D25)</f>
        <v>0.96788417043388875</v>
      </c>
      <c r="M8" t="s">
        <v>301</v>
      </c>
      <c r="N8" s="65">
        <f ca="1">AVERAGE(E5:E25)</f>
        <v>5.3476190476190482</v>
      </c>
      <c r="P8" t="s">
        <v>332</v>
      </c>
      <c r="Q8">
        <f ca="1">[1]!SHAPIRO(E5:E25)</f>
        <v>0.94755794576195829</v>
      </c>
      <c r="S8" s="68" t="s">
        <v>342</v>
      </c>
      <c r="T8" s="68" t="s">
        <v>313</v>
      </c>
      <c r="U8" s="68" t="s">
        <v>301</v>
      </c>
      <c r="V8" s="68" t="s">
        <v>343</v>
      </c>
      <c r="W8" s="68" t="s">
        <v>344</v>
      </c>
      <c r="X8" s="68" t="s">
        <v>345</v>
      </c>
      <c r="Y8" s="68" t="s">
        <v>346</v>
      </c>
      <c r="Z8" s="68" t="s">
        <v>347</v>
      </c>
      <c r="AA8" s="68" t="s">
        <v>348</v>
      </c>
      <c r="AC8" t="s">
        <v>359</v>
      </c>
      <c r="AD8" s="102">
        <f ca="1">MEDIAN(D5:D25)</f>
        <v>4.9000000000000004</v>
      </c>
      <c r="AE8" s="103">
        <f ca="1">MEDIAN(E5:E25)</f>
        <v>5.2</v>
      </c>
    </row>
    <row r="9" spans="3:31" x14ac:dyDescent="0.3">
      <c r="C9" s="2" t="s">
        <v>289</v>
      </c>
      <c r="D9" s="37" cm="1">
        <f t="array" aca="1" ref="D9" ca="1">INDIRECT("'" &amp; C9 &amp; "'!$L$38")</f>
        <v>4.9000000000000004</v>
      </c>
      <c r="E9" s="37" cm="1">
        <f t="array" aca="1" ref="E9" ca="1">INDIRECT("'" &amp; C9 &amp; "'!$M$38")</f>
        <v>5.2</v>
      </c>
      <c r="G9" t="s">
        <v>302</v>
      </c>
      <c r="H9">
        <f ca="1">_xlfn.STDEV.S(D5:D25)/SQRT(COUNT(D5:D25))</f>
        <v>0.12240040608768693</v>
      </c>
      <c r="J9" t="s">
        <v>333</v>
      </c>
      <c r="K9">
        <f ca="1">[1]!SWTEST(D5:D25)</f>
        <v>0.68589433487596296</v>
      </c>
      <c r="M9" t="s">
        <v>302</v>
      </c>
      <c r="N9">
        <f ca="1">_xlfn.STDEV.S(E5:E25)/SQRT(COUNT(E5:E25))</f>
        <v>9.8469005909050153E-2</v>
      </c>
      <c r="P9" t="s">
        <v>333</v>
      </c>
      <c r="Q9">
        <f ca="1">[1]!SWTEST(E5:E25)</f>
        <v>0.30604320361384718</v>
      </c>
      <c r="S9" t="s">
        <v>379</v>
      </c>
      <c r="T9">
        <f ca="1">COUNT(D5:D25)</f>
        <v>21</v>
      </c>
      <c r="U9" s="65">
        <f ca="1">AVERAGE(D5:D25)</f>
        <v>4.9190476190476193</v>
      </c>
      <c r="V9">
        <f ca="1">_xlfn.STDEV.S(D5:D25)</f>
        <v>0.56090912599015896</v>
      </c>
    </row>
    <row r="10" spans="3:31" x14ac:dyDescent="0.3">
      <c r="C10" s="2" t="s">
        <v>290</v>
      </c>
      <c r="D10" s="37" cm="1">
        <f t="array" aca="1" ref="D10" ca="1">INDIRECT("'" &amp; C10 &amp; "'!$L$38")</f>
        <v>4.5</v>
      </c>
      <c r="E10" s="37" cm="1">
        <f t="array" aca="1" ref="E10" ca="1">INDIRECT("'" &amp; C10 &amp; "'!$M$38")</f>
        <v>5.0999999999999996</v>
      </c>
      <c r="G10" t="s">
        <v>303</v>
      </c>
      <c r="H10" s="65">
        <f ca="1">MEDIAN(D5:D25)</f>
        <v>4.9000000000000004</v>
      </c>
      <c r="J10" t="s">
        <v>334</v>
      </c>
      <c r="K10">
        <v>0.05</v>
      </c>
      <c r="M10" t="s">
        <v>303</v>
      </c>
      <c r="N10" s="65">
        <f ca="1">MEDIAN(E5:E25)</f>
        <v>5.2</v>
      </c>
      <c r="P10" t="s">
        <v>334</v>
      </c>
      <c r="Q10">
        <v>0.05</v>
      </c>
      <c r="S10" t="s">
        <v>380</v>
      </c>
      <c r="T10">
        <f ca="1">COUNT(E5:E25)</f>
        <v>21</v>
      </c>
      <c r="U10" s="65">
        <f ca="1">AVERAGE(E5:E25)</f>
        <v>5.3476190476190482</v>
      </c>
      <c r="V10">
        <f ca="1">_xlfn.STDEV.S(E5:E25)</f>
        <v>0.45124167318527619</v>
      </c>
      <c r="AC10" t="s">
        <v>360</v>
      </c>
      <c r="AD10" s="88">
        <f ca="1">SUMPRODUCT(--ISNUMBER(D5:D25),--ISNUMBER(E5:E25))</f>
        <v>21</v>
      </c>
    </row>
    <row r="11" spans="3:31" x14ac:dyDescent="0.3">
      <c r="C11" s="2" t="s">
        <v>291</v>
      </c>
      <c r="D11" s="37" cm="1">
        <f t="array" aca="1" ref="D11" ca="1">INDIRECT("'" &amp; C11 &amp; "'!$L$38")</f>
        <v>5.6</v>
      </c>
      <c r="E11" s="37" cm="1">
        <f t="array" aca="1" ref="E11" ca="1">INDIRECT("'" &amp; C11 &amp; "'!$M$38")</f>
        <v>5.8</v>
      </c>
      <c r="G11" t="s">
        <v>304</v>
      </c>
      <c r="H11">
        <f ca="1">MODE(D5:D25)</f>
        <v>4.9000000000000004</v>
      </c>
      <c r="J11" s="63" t="s">
        <v>335</v>
      </c>
      <c r="K11" s="66" t="str">
        <f ca="1">IF(K9&lt;K10,"no","yes")</f>
        <v>yes</v>
      </c>
      <c r="M11" t="s">
        <v>304</v>
      </c>
      <c r="N11">
        <f ca="1">MODE(E5:E25)</f>
        <v>5.2</v>
      </c>
      <c r="P11" s="63" t="s">
        <v>335</v>
      </c>
      <c r="Q11" s="66" t="str">
        <f ca="1">IF(Q9&lt;Q10,"no","yes")</f>
        <v>yes</v>
      </c>
      <c r="S11" s="85" t="s">
        <v>349</v>
      </c>
      <c r="T11" s="85">
        <f ca="1">T10</f>
        <v>21</v>
      </c>
      <c r="U11" s="100">
        <f ca="1">U9-U10</f>
        <v>-0.42857142857142883</v>
      </c>
      <c r="V11" s="85">
        <f t="array" aca="1" ref="V11" ca="1">_xlfn.STDEV.S(D5:D25-E5:E25)</f>
        <v>0.30023800083076946</v>
      </c>
      <c r="W11" s="85">
        <f ca="1">V11/SQRT(T11)</f>
        <v>6.5517303109962635E-2</v>
      </c>
      <c r="X11" s="85">
        <f ca="1">(U9-U10-Z7)/W11</f>
        <v>-6.5413472201706018</v>
      </c>
      <c r="Y11" s="85">
        <f ca="1">T11-1</f>
        <v>20</v>
      </c>
      <c r="Z11" s="85">
        <f ca="1">ABS(U9-U10-Z7)/V11</f>
        <v>1.4274389896867024</v>
      </c>
      <c r="AA11" s="85">
        <f ca="1">SQRT(X11^2/(X11^2+Y11))</f>
        <v>0.82551438693021806</v>
      </c>
      <c r="AC11" t="s">
        <v>361</v>
      </c>
      <c r="AD11" s="74">
        <f ca="1">SUMPRODUCT(--ISNUMBER(D5:D25),--ISNUMBER(E5:E25),--(D5:D25&lt;&gt;E5:E25))</f>
        <v>20</v>
      </c>
    </row>
    <row r="12" spans="3:31" x14ac:dyDescent="0.3">
      <c r="C12" s="2" t="s">
        <v>292</v>
      </c>
      <c r="D12" s="37" cm="1">
        <f t="array" aca="1" ref="D12" ca="1">INDIRECT("'" &amp; C12 &amp; "'!$L$38")</f>
        <v>6.2</v>
      </c>
      <c r="E12" s="37" cm="1">
        <f t="array" aca="1" ref="E12" ca="1">INDIRECT("'" &amp; C12 &amp; "'!$M$38")</f>
        <v>6.2</v>
      </c>
      <c r="G12" t="s">
        <v>305</v>
      </c>
      <c r="H12">
        <f ca="1">_xlfn.STDEV.S(D5:D25)</f>
        <v>0.56090912599015896</v>
      </c>
      <c r="M12" t="s">
        <v>305</v>
      </c>
      <c r="N12">
        <f ca="1">_xlfn.STDEV.S(E5:E25)</f>
        <v>0.45124167318527619</v>
      </c>
      <c r="AC12" t="s">
        <v>362</v>
      </c>
      <c r="AD12" s="74">
        <f ca="1">IF(AD14&lt;=AD17,AD14,AD11*(AD11+1)/2)</f>
        <v>0</v>
      </c>
    </row>
    <row r="13" spans="3:31" ht="15" thickBot="1" x14ac:dyDescent="0.35">
      <c r="C13" s="2" t="s">
        <v>293</v>
      </c>
      <c r="D13" s="37" cm="1">
        <f t="array" aca="1" ref="D13" ca="1">INDIRECT("'" &amp; C13 &amp; "'!$L$38")</f>
        <v>5.9</v>
      </c>
      <c r="E13" s="37" cm="1">
        <f t="array" aca="1" ref="E13" ca="1">INDIRECT("'" &amp; C13 &amp; "'!$M$38")</f>
        <v>6.3</v>
      </c>
      <c r="G13" t="s">
        <v>306</v>
      </c>
      <c r="H13">
        <f ca="1">_xlfn.VAR.S(D5:D25)</f>
        <v>0.31461904761904408</v>
      </c>
      <c r="J13" t="s">
        <v>336</v>
      </c>
      <c r="M13" t="s">
        <v>306</v>
      </c>
      <c r="N13">
        <f ca="1">_xlfn.VAR.S(E5:E25)</f>
        <v>0.20361904761904759</v>
      </c>
      <c r="P13" t="s">
        <v>336</v>
      </c>
      <c r="S13" t="s">
        <v>350</v>
      </c>
      <c r="AC13" t="s">
        <v>363</v>
      </c>
      <c r="AD13" s="74">
        <f ca="1">AD11*(AD11+1)/2-AD12</f>
        <v>210</v>
      </c>
    </row>
    <row r="14" spans="3:31" ht="15" thickTop="1" x14ac:dyDescent="0.3">
      <c r="C14" s="2" t="s">
        <v>294</v>
      </c>
      <c r="D14" s="37" cm="1">
        <f t="array" aca="1" ref="D14" ca="1">INDIRECT("'" &amp; C14 &amp; "'!$L$38")</f>
        <v>5</v>
      </c>
      <c r="E14" s="37" cm="1">
        <f t="array" aca="1" ref="E14" ca="1">INDIRECT("'" &amp; C14 &amp; "'!$M$38")</f>
        <v>5.9</v>
      </c>
      <c r="G14" t="s">
        <v>307</v>
      </c>
      <c r="H14">
        <f ca="1">KURT(D5:D25)</f>
        <v>0.21529647560100651</v>
      </c>
      <c r="M14" t="s">
        <v>307</v>
      </c>
      <c r="N14">
        <f ca="1">KURT(E5:E25)</f>
        <v>2.7870691661406877E-2</v>
      </c>
      <c r="S14" s="68" t="s">
        <v>351</v>
      </c>
      <c r="T14" s="68" t="s">
        <v>333</v>
      </c>
      <c r="U14" s="68" t="s">
        <v>352</v>
      </c>
      <c r="V14" s="68" t="s">
        <v>353</v>
      </c>
      <c r="W14" s="68" t="s">
        <v>354</v>
      </c>
      <c r="X14" s="68" t="s">
        <v>355</v>
      </c>
      <c r="AC14" t="s">
        <v>364</v>
      </c>
      <c r="AD14" s="75">
        <f ca="1">[1]!SRANK(D5:D25,E5:E25)</f>
        <v>0</v>
      </c>
    </row>
    <row r="15" spans="3:31" x14ac:dyDescent="0.3">
      <c r="C15" s="2" t="s">
        <v>295</v>
      </c>
      <c r="D15" s="37" cm="1">
        <f t="array" aca="1" ref="D15" ca="1">INDIRECT("'" &amp; C15 &amp; "'!$L$38")</f>
        <v>5.2</v>
      </c>
      <c r="E15" s="37" cm="1">
        <f t="array" aca="1" ref="E15" ca="1">INDIRECT("'" &amp; C15 &amp; "'!$M$38")</f>
        <v>5.4</v>
      </c>
      <c r="G15" t="s">
        <v>308</v>
      </c>
      <c r="H15">
        <f ca="1">SKEW(D5:D25)</f>
        <v>0.53307926660556249</v>
      </c>
      <c r="J15" s="85" t="s">
        <v>337</v>
      </c>
      <c r="K15" s="85">
        <f ca="1">[1]!DAGOSTINO(D5:D25)</f>
        <v>1.4318639359008887</v>
      </c>
      <c r="M15" t="s">
        <v>308</v>
      </c>
      <c r="N15">
        <f ca="1">SKEW(E5:E25)</f>
        <v>0.55693186371551295</v>
      </c>
      <c r="P15" s="85" t="s">
        <v>337</v>
      </c>
      <c r="Q15" s="85">
        <f ca="1">[1]!DAGOSTINO(E5:E25)</f>
        <v>1.3941125796815073</v>
      </c>
      <c r="S15" t="s">
        <v>356</v>
      </c>
      <c r="T15">
        <f ca="1">_xlfn.T.DIST.RT(ABS(X11),Y11)</f>
        <v>1.124274991902957E-6</v>
      </c>
      <c r="U15">
        <f ca="1">_xlfn.T.INV.2T(W7*2,Y11)</f>
        <v>1.7247182429207868</v>
      </c>
      <c r="X15" s="70" t="str">
        <f ca="1">IF(T15&lt;W7,"yes","no")</f>
        <v>yes</v>
      </c>
    </row>
    <row r="16" spans="3:31" x14ac:dyDescent="0.3">
      <c r="C16" s="2" t="s">
        <v>296</v>
      </c>
      <c r="D16" s="37" cm="1">
        <f t="array" aca="1" ref="D16" ca="1">INDIRECT("'" &amp; C16 &amp; "'!$L$38")</f>
        <v>4.2</v>
      </c>
      <c r="E16" s="37" cm="1">
        <f t="array" aca="1" ref="E16" ca="1">INDIRECT("'" &amp; C16 &amp; "'!$M$38")</f>
        <v>5.4</v>
      </c>
      <c r="G16" t="s">
        <v>309</v>
      </c>
      <c r="H16">
        <f ca="1">H17-H18</f>
        <v>2.2000000000000002</v>
      </c>
      <c r="J16" t="s">
        <v>333</v>
      </c>
      <c r="K16">
        <f ca="1">[1]!DPTEST(D5:D25)</f>
        <v>0.488736412807937</v>
      </c>
      <c r="M16" t="s">
        <v>309</v>
      </c>
      <c r="N16">
        <f ca="1">N17-N18</f>
        <v>1.7999999999999998</v>
      </c>
      <c r="P16" t="s">
        <v>333</v>
      </c>
      <c r="Q16">
        <f ca="1">[1]!DPTEST(E5:E25)</f>
        <v>0.49804926067033017</v>
      </c>
      <c r="S16" t="s">
        <v>357</v>
      </c>
      <c r="T16" s="110">
        <f ca="1">_xlfn.T.DIST.2T(ABS(X11),Y11)</f>
        <v>2.248549983805914E-6</v>
      </c>
      <c r="U16">
        <f ca="1">_xlfn.T.INV.2T(W7,Y11)</f>
        <v>2.0859634472658648</v>
      </c>
      <c r="V16">
        <f ca="1">(U9-U10)-W11*U16</f>
        <v>-0.56523812802224904</v>
      </c>
      <c r="W16">
        <f ca="1">(U9-U10)+W11*U16</f>
        <v>-0.29190472912060861</v>
      </c>
      <c r="X16" s="70" t="str">
        <f ca="1">IF(T16&lt;W7,"yes","no")</f>
        <v>yes</v>
      </c>
      <c r="AD16" s="70" t="s">
        <v>365</v>
      </c>
      <c r="AE16" s="70" t="s">
        <v>366</v>
      </c>
    </row>
    <row r="17" spans="3:31" x14ac:dyDescent="0.3">
      <c r="C17" s="2" t="s">
        <v>297</v>
      </c>
      <c r="D17" s="37" cm="1">
        <f t="array" aca="1" ref="D17" ca="1">INDIRECT("'" &amp; C17 &amp; "'!$L$38")</f>
        <v>4.8</v>
      </c>
      <c r="E17" s="37" cm="1">
        <f t="array" aca="1" ref="E17" ca="1">INDIRECT("'" &amp; C17 &amp; "'!$M$38")</f>
        <v>5.0999999999999996</v>
      </c>
      <c r="G17" t="s">
        <v>310</v>
      </c>
      <c r="H17" s="65">
        <f ca="1">MAX(D5:D25)</f>
        <v>6.2</v>
      </c>
      <c r="J17" t="s">
        <v>334</v>
      </c>
      <c r="K17">
        <v>0.05</v>
      </c>
      <c r="M17" t="s">
        <v>310</v>
      </c>
      <c r="N17" s="65">
        <f ca="1">MAX(E5:E25)</f>
        <v>6.3</v>
      </c>
      <c r="P17" t="s">
        <v>334</v>
      </c>
      <c r="Q17">
        <v>0.05</v>
      </c>
      <c r="S17" s="85"/>
      <c r="T17" s="85"/>
      <c r="U17" s="85"/>
      <c r="V17" s="85"/>
      <c r="W17" s="85"/>
      <c r="X17" s="85"/>
      <c r="AC17" t="s">
        <v>367</v>
      </c>
      <c r="AD17" s="88">
        <f ca="1">AD11*(AD11+1)/4</f>
        <v>105</v>
      </c>
    </row>
    <row r="18" spans="3:31" x14ac:dyDescent="0.3">
      <c r="C18" s="2" t="s">
        <v>298</v>
      </c>
      <c r="D18" s="37" cm="1">
        <f t="array" aca="1" ref="D18" ca="1">INDIRECT("'" &amp; C18 &amp; "'!$L$38")</f>
        <v>4.7</v>
      </c>
      <c r="E18" s="37" cm="1">
        <f t="array" aca="1" ref="E18" ca="1">INDIRECT("'" &amp; C18 &amp; "'!$M$38")</f>
        <v>5</v>
      </c>
      <c r="G18" t="s">
        <v>311</v>
      </c>
      <c r="H18" s="65">
        <f ca="1">MIN(D5:D25)</f>
        <v>4</v>
      </c>
      <c r="J18" s="63" t="s">
        <v>335</v>
      </c>
      <c r="K18" s="66" t="str">
        <f ca="1">IF(K16&lt;K17,"no","yes")</f>
        <v>yes</v>
      </c>
      <c r="M18" t="s">
        <v>311</v>
      </c>
      <c r="N18" s="65">
        <f ca="1">MIN(E5:E25)</f>
        <v>4.5</v>
      </c>
      <c r="P18" s="63" t="s">
        <v>335</v>
      </c>
      <c r="Q18" s="66" t="str">
        <f ca="1">IF(Q16&lt;Q17,"no","yes")</f>
        <v>yes</v>
      </c>
      <c r="AC18" t="s">
        <v>368</v>
      </c>
      <c r="AD18" s="74">
        <f ca="1">SQRT(AD17*(2*AD11+1)/6-[1]!TiesCorrection(D5:D25,E5:E25,1)/48)</f>
        <v>26.718439325679185</v>
      </c>
      <c r="AE18" t="s">
        <v>369</v>
      </c>
    </row>
    <row r="19" spans="3:31" x14ac:dyDescent="0.3">
      <c r="C19" s="2" t="s">
        <v>299</v>
      </c>
      <c r="D19" s="37" cm="1">
        <f t="array" aca="1" ref="D19" ca="1">INDIRECT("'" &amp; C19 &amp; "'!$L$38")</f>
        <v>4.7</v>
      </c>
      <c r="E19" s="37" cm="1">
        <f t="array" aca="1" ref="E19" ca="1">INDIRECT("'" &amp; C19 &amp; "'!$M$38")</f>
        <v>4.9000000000000004</v>
      </c>
      <c r="G19" t="s">
        <v>312</v>
      </c>
      <c r="H19" s="65">
        <f ca="1">SUM(D5:D25)</f>
        <v>103.30000000000001</v>
      </c>
      <c r="M19" t="s">
        <v>312</v>
      </c>
      <c r="N19" s="65">
        <f ca="1">SUM(E5:E25)</f>
        <v>112.30000000000001</v>
      </c>
      <c r="AC19" t="s">
        <v>370</v>
      </c>
      <c r="AD19" s="74">
        <f ca="1">ABS(ABS(AD14-AD17)-1/2)/AD18</f>
        <v>3.9111565883851864</v>
      </c>
      <c r="AE19" t="s">
        <v>371</v>
      </c>
    </row>
    <row r="20" spans="3:31" x14ac:dyDescent="0.3">
      <c r="C20" s="2" t="s">
        <v>395</v>
      </c>
      <c r="D20" s="37" cm="1">
        <f t="array" aca="1" ref="D20" ca="1">INDIRECT("'" &amp; C20 &amp; "'!$L$38")</f>
        <v>4.5999999999999996</v>
      </c>
      <c r="E20" s="37" cm="1">
        <f t="array" aca="1" ref="E20" ca="1">INDIRECT("'" &amp; C20 &amp; "'!$M$38")</f>
        <v>4.9000000000000004</v>
      </c>
      <c r="G20" t="s">
        <v>313</v>
      </c>
      <c r="H20">
        <f ca="1">COUNT(D5:D25)</f>
        <v>21</v>
      </c>
      <c r="M20" t="s">
        <v>313</v>
      </c>
      <c r="N20">
        <f ca="1">COUNT(E5:E25)</f>
        <v>21</v>
      </c>
      <c r="AC20" t="s">
        <v>372</v>
      </c>
      <c r="AD20" s="74">
        <f ca="1">AD19/SQRT(AD11)</f>
        <v>0.87456120022754413</v>
      </c>
    </row>
    <row r="21" spans="3:31" ht="15" thickBot="1" x14ac:dyDescent="0.35">
      <c r="C21" s="2" t="s">
        <v>396</v>
      </c>
      <c r="D21" s="37" cm="1">
        <f t="array" aca="1" ref="D21" ca="1">INDIRECT("'" &amp; C21 &amp; "'!$L$38")</f>
        <v>4.7</v>
      </c>
      <c r="E21" s="37" cm="1">
        <f t="array" aca="1" ref="E21" ca="1">INDIRECT("'" &amp; C21 &amp; "'!$M$38")</f>
        <v>5.0999999999999996</v>
      </c>
      <c r="G21" t="s">
        <v>314</v>
      </c>
      <c r="H21">
        <f ca="1">GEOMEAN(D5:D25)</f>
        <v>4.8892900395992536</v>
      </c>
      <c r="M21" t="s">
        <v>314</v>
      </c>
      <c r="N21">
        <f ca="1">GEOMEAN(E5:E25)</f>
        <v>5.3298688989094938</v>
      </c>
      <c r="S21" s="142"/>
      <c r="T21" s="142" t="s">
        <v>301</v>
      </c>
      <c r="U21" s="148" t="s">
        <v>343</v>
      </c>
      <c r="V21" s="147" t="s">
        <v>333</v>
      </c>
      <c r="W21" s="147" t="s">
        <v>348</v>
      </c>
      <c r="AC21" t="s">
        <v>373</v>
      </c>
      <c r="AD21" s="88">
        <f ca="1">1-_xlfn.NORM.S.DIST(AD19,TRUE)</f>
        <v>4.5927596174388796E-5</v>
      </c>
      <c r="AE21" s="104">
        <f ca="1">2*AD21</f>
        <v>9.1855192348777592E-5</v>
      </c>
    </row>
    <row r="22" spans="3:31" ht="15" thickBot="1" x14ac:dyDescent="0.35">
      <c r="C22" s="2" t="s">
        <v>397</v>
      </c>
      <c r="D22" s="37" cm="1">
        <f t="array" aca="1" ref="D22" ca="1">INDIRECT("'" &amp; C22 &amp; "'!$L$38")</f>
        <v>4.9000000000000004</v>
      </c>
      <c r="E22" s="37" cm="1">
        <f t="array" aca="1" ref="E22" ca="1">INDIRECT("'" &amp; C22 &amp; "'!$M$38")</f>
        <v>5.2</v>
      </c>
      <c r="G22" t="s">
        <v>315</v>
      </c>
      <c r="H22">
        <f ca="1">HARMEAN(D5:D25)</f>
        <v>4.8601893625053147</v>
      </c>
      <c r="M22" t="s">
        <v>315</v>
      </c>
      <c r="N22">
        <f ca="1">HARMEAN(E5:E25)</f>
        <v>5.3124866304136154</v>
      </c>
      <c r="S22" s="142" t="s">
        <v>430</v>
      </c>
      <c r="T22" s="143">
        <v>4.9190476190476193</v>
      </c>
      <c r="U22" s="148">
        <v>0.56090912599015896</v>
      </c>
      <c r="V22" s="142"/>
      <c r="W22" s="142"/>
      <c r="AC22" t="s">
        <v>374</v>
      </c>
      <c r="AD22" s="74">
        <f ca="1">[1]!SRDIST(AD14,AD11,1)</f>
        <v>9.5367431640625E-7</v>
      </c>
      <c r="AE22" s="77">
        <f ca="1">2*AD22</f>
        <v>1.9073486328125E-6</v>
      </c>
    </row>
    <row r="23" spans="3:31" ht="15" thickBot="1" x14ac:dyDescent="0.35">
      <c r="C23" s="2" t="s">
        <v>398</v>
      </c>
      <c r="D23" s="37" cm="1">
        <f t="array" aca="1" ref="D23" ca="1">INDIRECT("'" &amp; C23 &amp; "'!$L$38")</f>
        <v>4.9000000000000004</v>
      </c>
      <c r="E23" s="37" cm="1">
        <f t="array" aca="1" ref="E23" ca="1">INDIRECT("'" &amp; C23 &amp; "'!$M$38")</f>
        <v>5.2</v>
      </c>
      <c r="G23" t="s">
        <v>316</v>
      </c>
      <c r="H23">
        <f ca="1">AVEDEV(D5:D25)</f>
        <v>0.42358276643990933</v>
      </c>
      <c r="M23" t="s">
        <v>316</v>
      </c>
      <c r="N23">
        <f ca="1">AVEDEV(E5:E25)</f>
        <v>0.35918367346938784</v>
      </c>
      <c r="S23" s="144" t="s">
        <v>431</v>
      </c>
      <c r="T23" s="145">
        <v>5.3476190476190482</v>
      </c>
      <c r="U23" s="149">
        <v>0.45124167318527619</v>
      </c>
      <c r="V23" s="146">
        <v>2.248549983805914E-6</v>
      </c>
      <c r="W23" s="144">
        <v>0.82551438693021806</v>
      </c>
      <c r="AC23" t="s">
        <v>375</v>
      </c>
      <c r="AD23" s="75" t="s">
        <v>376</v>
      </c>
      <c r="AE23" s="78" t="s">
        <v>376</v>
      </c>
    </row>
    <row r="24" spans="3:31" x14ac:dyDescent="0.3">
      <c r="C24" s="2" t="s">
        <v>399</v>
      </c>
      <c r="D24" s="37" cm="1">
        <f t="array" aca="1" ref="D24" ca="1">INDIRECT("'" &amp; C24 &amp; "'!$L$38")</f>
        <v>4.0999999999999996</v>
      </c>
      <c r="E24" s="37" cm="1">
        <f t="array" aca="1" ref="E24" ca="1">INDIRECT("'" &amp; C24 &amp; "'!$M$38")</f>
        <v>5.2</v>
      </c>
      <c r="G24" t="s">
        <v>317</v>
      </c>
      <c r="H24">
        <f ca="1">[1]!MAD(D5:D25)</f>
        <v>0.30000000000000071</v>
      </c>
      <c r="M24" t="s">
        <v>317</v>
      </c>
      <c r="N24">
        <f ca="1">[1]!MAD(E5:E25)</f>
        <v>0.20000000000000018</v>
      </c>
    </row>
    <row r="25" spans="3:31" x14ac:dyDescent="0.3">
      <c r="C25" s="2" t="s">
        <v>400</v>
      </c>
      <c r="D25" s="37" cm="1">
        <f t="array" aca="1" ref="D25" ca="1">INDIRECT("'" &amp; C25 &amp; "'!$L$38")</f>
        <v>4</v>
      </c>
      <c r="E25" s="37" cm="1">
        <f t="array" aca="1" ref="E25" ca="1">INDIRECT("'" &amp; C25 &amp; "'!$M$38")</f>
        <v>4.5</v>
      </c>
      <c r="G25" s="63" t="s">
        <v>318</v>
      </c>
      <c r="H25" s="63">
        <f ca="1">[1]!IQR(D5:D25,FALSE)</f>
        <v>0.60000000000000053</v>
      </c>
      <c r="M25" s="63" t="s">
        <v>318</v>
      </c>
      <c r="N25" s="63">
        <f ca="1">[1]!IQR(E5:E25,FALSE)</f>
        <v>0.5</v>
      </c>
    </row>
    <row r="29" spans="3:31" x14ac:dyDescent="0.3">
      <c r="C29" s="2"/>
      <c r="D29" s="59" t="s">
        <v>64</v>
      </c>
      <c r="E29" s="2"/>
    </row>
    <row r="30" spans="3:31" x14ac:dyDescent="0.3">
      <c r="C30" s="2"/>
      <c r="D30" s="2"/>
      <c r="E30" s="2"/>
    </row>
    <row r="31" spans="3:31" x14ac:dyDescent="0.3">
      <c r="C31" s="2" t="s">
        <v>285</v>
      </c>
      <c r="D31" s="37" cm="1">
        <f t="array" aca="1" ref="D31" ca="1">INDIRECT("'" &amp; C31 &amp; "'!$E$38")</f>
        <v>5</v>
      </c>
      <c r="E31" s="37" cm="1">
        <f t="array" aca="1" ref="E31" ca="1">INDIRECT("'" &amp; C31 &amp; "'!$F$38")</f>
        <v>5</v>
      </c>
      <c r="G31" t="s">
        <v>300</v>
      </c>
      <c r="J31" t="s">
        <v>331</v>
      </c>
      <c r="M31" t="s">
        <v>300</v>
      </c>
      <c r="P31" t="s">
        <v>331</v>
      </c>
      <c r="S31" t="s">
        <v>338</v>
      </c>
      <c r="AC31" t="s">
        <v>358</v>
      </c>
    </row>
    <row r="32" spans="3:31" x14ac:dyDescent="0.3">
      <c r="C32" s="2" t="s">
        <v>286</v>
      </c>
      <c r="D32" s="37" cm="1">
        <f t="array" aca="1" ref="D32" ca="1">INDIRECT("'" &amp; C32 &amp; "'!$E$38")</f>
        <v>5</v>
      </c>
      <c r="E32" s="37" cm="1">
        <f t="array" aca="1" ref="E32" ca="1">INDIRECT("'" &amp; C32 &amp; "'!$F$38")</f>
        <v>5</v>
      </c>
    </row>
    <row r="33" spans="3:31" ht="15" thickBot="1" x14ac:dyDescent="0.35">
      <c r="C33" s="2" t="s">
        <v>287</v>
      </c>
      <c r="D33" s="37" cm="1">
        <f t="array" aca="1" ref="D33" ca="1">INDIRECT("'" &amp; C33 &amp; "'!$E$38")</f>
        <v>4</v>
      </c>
      <c r="E33" s="37" cm="1">
        <f t="array" aca="1" ref="E33" ca="1">INDIRECT("'" &amp; C33 &amp; "'!$F$38")</f>
        <v>5</v>
      </c>
      <c r="G33" s="64"/>
      <c r="H33" s="64" t="s">
        <v>379</v>
      </c>
      <c r="J33" s="64"/>
      <c r="K33" s="64" t="s">
        <v>379</v>
      </c>
      <c r="M33" s="64"/>
      <c r="N33" s="64" t="s">
        <v>379</v>
      </c>
      <c r="P33" s="64"/>
      <c r="Q33" s="64" t="s">
        <v>379</v>
      </c>
      <c r="S33" t="s">
        <v>339</v>
      </c>
      <c r="V33" t="s">
        <v>340</v>
      </c>
      <c r="W33">
        <v>0.05</v>
      </c>
      <c r="Y33" t="s">
        <v>341</v>
      </c>
      <c r="Z33">
        <v>0</v>
      </c>
      <c r="AD33" t="s">
        <v>381</v>
      </c>
      <c r="AE33" t="s">
        <v>382</v>
      </c>
    </row>
    <row r="34" spans="3:31" ht="15" thickTop="1" x14ac:dyDescent="0.3">
      <c r="C34" s="2" t="s">
        <v>288</v>
      </c>
      <c r="D34" s="37" cm="1">
        <f t="array" aca="1" ref="D34" ca="1">INDIRECT("'" &amp; C34 &amp; "'!$E$38")</f>
        <v>5</v>
      </c>
      <c r="E34" s="37" cm="1">
        <f t="array" aca="1" ref="E34" ca="1">INDIRECT("'" &amp; C34 &amp; "'!$F$38")</f>
        <v>6</v>
      </c>
      <c r="G34" t="s">
        <v>301</v>
      </c>
      <c r="H34" s="65">
        <f ca="1">AVERAGE(D31:D51)</f>
        <v>4.9047619047619051</v>
      </c>
      <c r="J34" t="s">
        <v>332</v>
      </c>
      <c r="K34">
        <f ca="1">[1]!SHAPIRO(D31:D51)</f>
        <v>0.84135290473469215</v>
      </c>
      <c r="M34" t="s">
        <v>301</v>
      </c>
      <c r="N34" s="65">
        <f ca="1">AVERAGE(E31:E51)</f>
        <v>5.333333333333333</v>
      </c>
      <c r="P34" t="s">
        <v>332</v>
      </c>
      <c r="Q34">
        <f ca="1">[1]!SHAPIRO(E31:E51)</f>
        <v>0.8545895247984393</v>
      </c>
      <c r="S34" s="68" t="s">
        <v>342</v>
      </c>
      <c r="T34" s="68" t="s">
        <v>313</v>
      </c>
      <c r="U34" s="68" t="s">
        <v>301</v>
      </c>
      <c r="V34" s="68" t="s">
        <v>343</v>
      </c>
      <c r="W34" s="68" t="s">
        <v>344</v>
      </c>
      <c r="X34" s="68" t="s">
        <v>345</v>
      </c>
      <c r="Y34" s="68" t="s">
        <v>346</v>
      </c>
      <c r="Z34" s="68" t="s">
        <v>347</v>
      </c>
      <c r="AA34" s="68" t="s">
        <v>348</v>
      </c>
      <c r="AC34" t="s">
        <v>359</v>
      </c>
      <c r="AD34" s="102">
        <f ca="1">MEDIAN(D31:D51)</f>
        <v>5</v>
      </c>
      <c r="AE34" s="103">
        <f ca="1">MEDIAN(E31:E51)</f>
        <v>5</v>
      </c>
    </row>
    <row r="35" spans="3:31" x14ac:dyDescent="0.3">
      <c r="C35" s="2" t="s">
        <v>289</v>
      </c>
      <c r="D35" s="37" cm="1">
        <f t="array" aca="1" ref="D35" ca="1">INDIRECT("'" &amp; C35 &amp; "'!$E$38")</f>
        <v>3</v>
      </c>
      <c r="E35" s="37" cm="1">
        <f t="array" aca="1" ref="E35" ca="1">INDIRECT("'" &amp; C35 &amp; "'!$F$38")</f>
        <v>4</v>
      </c>
      <c r="G35" t="s">
        <v>302</v>
      </c>
      <c r="H35">
        <f ca="1">_xlfn.STDEV.S(D31:D51)/SQRT(COUNT(D31:D51))</f>
        <v>0.27520349098666447</v>
      </c>
      <c r="J35" t="s">
        <v>333</v>
      </c>
      <c r="K35">
        <f ca="1">[1]!SWTEST(D31:D51)</f>
        <v>3.0252927437123267E-3</v>
      </c>
      <c r="M35" t="s">
        <v>302</v>
      </c>
      <c r="N35">
        <f ca="1">_xlfn.STDEV.S(E31:E51)/SQRT(COUNT(E31:E51))</f>
        <v>0.24234305999998976</v>
      </c>
      <c r="P35" t="s">
        <v>333</v>
      </c>
      <c r="Q35">
        <f ca="1">[1]!SWTEST(E31:E51)</f>
        <v>5.1011444804719419E-3</v>
      </c>
      <c r="S35" t="s">
        <v>379</v>
      </c>
      <c r="T35">
        <f ca="1">COUNT(D31:D51)</f>
        <v>21</v>
      </c>
      <c r="U35" s="65">
        <f ca="1">AVERAGE(D31:D51)</f>
        <v>4.9047619047619051</v>
      </c>
      <c r="V35">
        <f ca="1">_xlfn.STDEV.S(D31:D51)</f>
        <v>1.2611408289624872</v>
      </c>
    </row>
    <row r="36" spans="3:31" x14ac:dyDescent="0.3">
      <c r="C36" s="2" t="s">
        <v>290</v>
      </c>
      <c r="D36" s="37" cm="1">
        <f t="array" aca="1" ref="D36" ca="1">INDIRECT("'" &amp; C36 &amp; "'!$E$38")</f>
        <v>5</v>
      </c>
      <c r="E36" s="37" cm="1">
        <f t="array" aca="1" ref="E36" ca="1">INDIRECT("'" &amp; C36 &amp; "'!$F$38")</f>
        <v>5</v>
      </c>
      <c r="G36" t="s">
        <v>303</v>
      </c>
      <c r="H36" s="65">
        <f ca="1">MEDIAN(D31:D51)</f>
        <v>5</v>
      </c>
      <c r="J36" t="s">
        <v>334</v>
      </c>
      <c r="K36">
        <v>0.05</v>
      </c>
      <c r="M36" t="s">
        <v>303</v>
      </c>
      <c r="N36" s="65">
        <f ca="1">MEDIAN(E31:E51)</f>
        <v>5</v>
      </c>
      <c r="P36" t="s">
        <v>334</v>
      </c>
      <c r="Q36">
        <v>0.05</v>
      </c>
      <c r="S36" t="s">
        <v>380</v>
      </c>
      <c r="T36">
        <f ca="1">COUNT(E31:E51)</f>
        <v>21</v>
      </c>
      <c r="U36" s="65">
        <f ca="1">AVERAGE(E31:E51)</f>
        <v>5.333333333333333</v>
      </c>
      <c r="V36">
        <f ca="1">_xlfn.STDEV.S(E31:E51)</f>
        <v>1.1105554165971778</v>
      </c>
      <c r="AC36" t="s">
        <v>360</v>
      </c>
      <c r="AD36" s="88">
        <f ca="1">SUMPRODUCT(--ISNUMBER(D31:D51),--ISNUMBER(E31:E51))</f>
        <v>21</v>
      </c>
    </row>
    <row r="37" spans="3:31" x14ac:dyDescent="0.3">
      <c r="C37" s="2" t="s">
        <v>291</v>
      </c>
      <c r="D37" s="37" cm="1">
        <f t="array" aca="1" ref="D37" ca="1">INDIRECT("'" &amp; C37 &amp; "'!$E$38")</f>
        <v>6</v>
      </c>
      <c r="E37" s="37" cm="1">
        <f t="array" aca="1" ref="E37" ca="1">INDIRECT("'" &amp; C37 &amp; "'!$F$38")</f>
        <v>6</v>
      </c>
      <c r="G37" t="s">
        <v>304</v>
      </c>
      <c r="H37">
        <f ca="1">MODE(D31:D51)</f>
        <v>5</v>
      </c>
      <c r="J37" s="63" t="s">
        <v>335</v>
      </c>
      <c r="K37" s="66" t="str">
        <f ca="1">IF(K35&lt;K36,"no","yes")</f>
        <v>no</v>
      </c>
      <c r="M37" t="s">
        <v>304</v>
      </c>
      <c r="N37">
        <f ca="1">MODE(E31:E51)</f>
        <v>5</v>
      </c>
      <c r="P37" s="63" t="s">
        <v>335</v>
      </c>
      <c r="Q37" s="66" t="str">
        <f ca="1">IF(Q35&lt;Q36,"no","yes")</f>
        <v>no</v>
      </c>
      <c r="S37" s="85" t="s">
        <v>349</v>
      </c>
      <c r="T37" s="85">
        <f ca="1">T36</f>
        <v>21</v>
      </c>
      <c r="U37" s="100">
        <f ca="1">U35-U36</f>
        <v>-0.42857142857142794</v>
      </c>
      <c r="V37" s="85">
        <f t="array" aca="1" ref="V37" ca="1">_xlfn.STDEV.S(D31:D51-E31:E51)</f>
        <v>0.74642002729217893</v>
      </c>
      <c r="W37" s="85">
        <f ca="1">V37/SQRT(T37)</f>
        <v>0.16288220358559113</v>
      </c>
      <c r="X37" s="85">
        <f ca="1">(U35-U36-Z33)/W37</f>
        <v>-2.6311740579210841</v>
      </c>
      <c r="Y37" s="85">
        <f ca="1">T37-1</f>
        <v>20</v>
      </c>
      <c r="Z37" s="85">
        <f ca="1">ABS(U35-U36-Z33)/V37</f>
        <v>0.57416925176321376</v>
      </c>
      <c r="AA37" s="85">
        <f ca="1">SQRT(X37^2/(X37^2+Y37))</f>
        <v>0.50709255283710941</v>
      </c>
      <c r="AC37" t="s">
        <v>361</v>
      </c>
      <c r="AD37" s="74">
        <f ca="1">SUMPRODUCT(--ISNUMBER(D31:D51),--ISNUMBER(E31:E51),--(D31:D51&lt;&gt;E31:E51))</f>
        <v>7</v>
      </c>
    </row>
    <row r="38" spans="3:31" x14ac:dyDescent="0.3">
      <c r="C38" s="2" t="s">
        <v>292</v>
      </c>
      <c r="D38" s="37" cm="1">
        <f t="array" aca="1" ref="D38" ca="1">INDIRECT("'" &amp; C38 &amp; "'!$E$38")</f>
        <v>6</v>
      </c>
      <c r="E38" s="37" cm="1">
        <f t="array" aca="1" ref="E38" ca="1">INDIRECT("'" &amp; C38 &amp; "'!$F$38")</f>
        <v>6</v>
      </c>
      <c r="G38" t="s">
        <v>305</v>
      </c>
      <c r="H38">
        <f ca="1">_xlfn.STDEV.S(D31:D51)</f>
        <v>1.2611408289624872</v>
      </c>
      <c r="M38" t="s">
        <v>305</v>
      </c>
      <c r="N38">
        <f ca="1">_xlfn.STDEV.S(E31:E51)</f>
        <v>1.1105554165971778</v>
      </c>
      <c r="AC38" t="s">
        <v>362</v>
      </c>
      <c r="AD38" s="74">
        <f ca="1">IF(AD40&lt;=AD43,AD40,AD37*(AD37+1)/2)</f>
        <v>0</v>
      </c>
    </row>
    <row r="39" spans="3:31" ht="15" thickBot="1" x14ac:dyDescent="0.35">
      <c r="C39" s="2" t="s">
        <v>293</v>
      </c>
      <c r="D39" s="37" cm="1">
        <f t="array" aca="1" ref="D39" ca="1">INDIRECT("'" &amp; C39 &amp; "'!$E$38")</f>
        <v>7</v>
      </c>
      <c r="E39" s="37" cm="1">
        <f t="array" aca="1" ref="E39" ca="1">INDIRECT("'" &amp; C39 &amp; "'!$F$38")</f>
        <v>7</v>
      </c>
      <c r="G39" t="s">
        <v>306</v>
      </c>
      <c r="H39">
        <f ca="1">_xlfn.VAR.S(D31:D51)</f>
        <v>1.5904761904761897</v>
      </c>
      <c r="J39" t="s">
        <v>336</v>
      </c>
      <c r="M39" t="s">
        <v>306</v>
      </c>
      <c r="N39">
        <f ca="1">_xlfn.VAR.S(E31:E51)</f>
        <v>1.2333333333333314</v>
      </c>
      <c r="P39" t="s">
        <v>336</v>
      </c>
      <c r="S39" t="s">
        <v>350</v>
      </c>
      <c r="AC39" t="s">
        <v>363</v>
      </c>
      <c r="AD39" s="74">
        <f ca="1">AD37*(AD37+1)/2-AD38</f>
        <v>28</v>
      </c>
    </row>
    <row r="40" spans="3:31" ht="15" thickTop="1" x14ac:dyDescent="0.3">
      <c r="C40" s="2" t="s">
        <v>294</v>
      </c>
      <c r="D40" s="37" cm="1">
        <f t="array" aca="1" ref="D40" ca="1">INDIRECT("'" &amp; C40 &amp; "'!$E$38")</f>
        <v>4</v>
      </c>
      <c r="E40" s="37" cm="1">
        <f t="array" aca="1" ref="E40" ca="1">INDIRECT("'" &amp; C40 &amp; "'!$F$38")</f>
        <v>7</v>
      </c>
      <c r="G40" t="s">
        <v>307</v>
      </c>
      <c r="H40">
        <f ca="1">KURT(D31:D51)</f>
        <v>3.8105006501337058</v>
      </c>
      <c r="M40" t="s">
        <v>307</v>
      </c>
      <c r="N40">
        <f ca="1">KURT(E31:E51)</f>
        <v>3.0137249625158584</v>
      </c>
      <c r="S40" s="68" t="s">
        <v>351</v>
      </c>
      <c r="T40" s="68" t="s">
        <v>333</v>
      </c>
      <c r="U40" s="68" t="s">
        <v>352</v>
      </c>
      <c r="V40" s="68" t="s">
        <v>353</v>
      </c>
      <c r="W40" s="68" t="s">
        <v>354</v>
      </c>
      <c r="X40" s="68" t="s">
        <v>355</v>
      </c>
      <c r="AC40" t="s">
        <v>364</v>
      </c>
      <c r="AD40" s="75">
        <f ca="1">[1]!SRANK(D31:D51,E31:E51)</f>
        <v>0</v>
      </c>
    </row>
    <row r="41" spans="3:31" x14ac:dyDescent="0.3">
      <c r="C41" s="2" t="s">
        <v>295</v>
      </c>
      <c r="D41" s="37" cm="1">
        <f t="array" aca="1" ref="D41" ca="1">INDIRECT("'" &amp; C41 &amp; "'!$E$38")</f>
        <v>6</v>
      </c>
      <c r="E41" s="37" cm="1">
        <f t="array" aca="1" ref="E41" ca="1">INDIRECT("'" &amp; C41 &amp; "'!$F$38")</f>
        <v>6</v>
      </c>
      <c r="G41" t="s">
        <v>308</v>
      </c>
      <c r="H41">
        <f ca="1">SKEW(D31:D51)</f>
        <v>-1.4572921376848229</v>
      </c>
      <c r="J41" s="85" t="s">
        <v>337</v>
      </c>
      <c r="K41" s="85">
        <f ca="1">[1]!DAGOSTINO(D31:D51)</f>
        <v>13.470788227433079</v>
      </c>
      <c r="M41" t="s">
        <v>308</v>
      </c>
      <c r="N41">
        <f ca="1">SKEW(E31:E51)</f>
        <v>-1.2283525944985128</v>
      </c>
      <c r="P41" s="85" t="s">
        <v>337</v>
      </c>
      <c r="Q41" s="85">
        <f ca="1">[1]!DAGOSTINO(E31:E51)</f>
        <v>10.357690672797281</v>
      </c>
      <c r="S41" t="s">
        <v>356</v>
      </c>
      <c r="T41">
        <f ca="1">_xlfn.T.DIST.RT(ABS(X37),Y37)</f>
        <v>8.0040743198449994E-3</v>
      </c>
      <c r="U41">
        <f ca="1">_xlfn.T.INV.2T(W33*2,Y37)</f>
        <v>1.7247182429207868</v>
      </c>
      <c r="X41" s="70" t="str">
        <f ca="1">IF(T41&lt;W33,"yes","no")</f>
        <v>yes</v>
      </c>
    </row>
    <row r="42" spans="3:31" x14ac:dyDescent="0.3">
      <c r="C42" s="2" t="s">
        <v>296</v>
      </c>
      <c r="D42" s="37" cm="1">
        <f t="array" aca="1" ref="D42" ca="1">INDIRECT("'" &amp; C42 &amp; "'!$E$38")</f>
        <v>5</v>
      </c>
      <c r="E42" s="37" cm="1">
        <f t="array" aca="1" ref="E42" ca="1">INDIRECT("'" &amp; C42 &amp; "'!$F$38")</f>
        <v>5</v>
      </c>
      <c r="G42" t="s">
        <v>309</v>
      </c>
      <c r="H42">
        <f ca="1">H43-H44</f>
        <v>6</v>
      </c>
      <c r="J42" t="s">
        <v>333</v>
      </c>
      <c r="K42">
        <f ca="1">[1]!DPTEST(D31:D51)</f>
        <v>1.1881068586638843E-3</v>
      </c>
      <c r="M42" t="s">
        <v>309</v>
      </c>
      <c r="N42">
        <f ca="1">N43-N44</f>
        <v>5</v>
      </c>
      <c r="P42" t="s">
        <v>333</v>
      </c>
      <c r="Q42">
        <f ca="1">[1]!DPTEST(E31:E51)</f>
        <v>5.6345086217676199E-3</v>
      </c>
      <c r="S42" t="s">
        <v>357</v>
      </c>
      <c r="T42" s="111">
        <f ca="1">_xlfn.T.DIST.2T(ABS(X37),Y37)</f>
        <v>1.6008148639689999E-2</v>
      </c>
      <c r="U42">
        <f ca="1">_xlfn.T.INV.2T(W33,Y37)</f>
        <v>2.0859634472658648</v>
      </c>
      <c r="V42">
        <f ca="1">(U35-U36)-W37*U42</f>
        <v>-0.76833775146108807</v>
      </c>
      <c r="W42">
        <f ca="1">(U35-U36)+W37*U42</f>
        <v>-8.880510568176786E-2</v>
      </c>
      <c r="X42" s="70" t="str">
        <f ca="1">IF(T42&lt;W33,"yes","no")</f>
        <v>yes</v>
      </c>
      <c r="AD42" s="70" t="s">
        <v>365</v>
      </c>
      <c r="AE42" s="70" t="s">
        <v>366</v>
      </c>
    </row>
    <row r="43" spans="3:31" x14ac:dyDescent="0.3">
      <c r="C43" s="2" t="s">
        <v>297</v>
      </c>
      <c r="D43" s="37" cm="1">
        <f t="array" aca="1" ref="D43" ca="1">INDIRECT("'" &amp; C43 &amp; "'!$E$38")</f>
        <v>5</v>
      </c>
      <c r="E43" s="37" cm="1">
        <f t="array" aca="1" ref="E43" ca="1">INDIRECT("'" &amp; C43 &amp; "'!$F$38")</f>
        <v>5</v>
      </c>
      <c r="G43" t="s">
        <v>310</v>
      </c>
      <c r="H43" s="65">
        <f ca="1">MAX(D31:D51)</f>
        <v>7</v>
      </c>
      <c r="J43" t="s">
        <v>334</v>
      </c>
      <c r="K43">
        <v>0.05</v>
      </c>
      <c r="M43" t="s">
        <v>310</v>
      </c>
      <c r="N43" s="65">
        <f ca="1">MAX(E31:E51)</f>
        <v>7</v>
      </c>
      <c r="P43" t="s">
        <v>334</v>
      </c>
      <c r="Q43">
        <v>0.05</v>
      </c>
      <c r="S43" s="85"/>
      <c r="T43" s="85"/>
      <c r="U43" s="85"/>
      <c r="V43" s="85"/>
      <c r="W43" s="85"/>
      <c r="X43" s="85"/>
      <c r="AC43" t="s">
        <v>367</v>
      </c>
      <c r="AD43" s="88">
        <f ca="1">AD37*(AD37+1)/4</f>
        <v>14</v>
      </c>
    </row>
    <row r="44" spans="3:31" x14ac:dyDescent="0.3">
      <c r="C44" s="2" t="s">
        <v>298</v>
      </c>
      <c r="D44" s="37" cm="1">
        <f t="array" aca="1" ref="D44" ca="1">INDIRECT("'" &amp; C44 &amp; "'!$E$38")</f>
        <v>6</v>
      </c>
      <c r="E44" s="37" cm="1">
        <f t="array" aca="1" ref="E44" ca="1">INDIRECT("'" &amp; C44 &amp; "'!$F$38")</f>
        <v>6</v>
      </c>
      <c r="G44" t="s">
        <v>311</v>
      </c>
      <c r="H44" s="65">
        <f ca="1">MIN(D31:D51)</f>
        <v>1</v>
      </c>
      <c r="J44" s="63" t="s">
        <v>335</v>
      </c>
      <c r="K44" s="66" t="str">
        <f ca="1">IF(K42&lt;K43,"no","yes")</f>
        <v>no</v>
      </c>
      <c r="M44" t="s">
        <v>311</v>
      </c>
      <c r="N44" s="65">
        <f ca="1">MIN(E31:E51)</f>
        <v>2</v>
      </c>
      <c r="P44" s="63" t="s">
        <v>335</v>
      </c>
      <c r="Q44" s="66" t="str">
        <f ca="1">IF(Q42&lt;Q43,"no","yes")</f>
        <v>no</v>
      </c>
      <c r="AC44" t="s">
        <v>368</v>
      </c>
      <c r="AD44" s="74">
        <f ca="1">SQRT(AD43*(2*AD37+1)/6-[1]!TiesCorrection(D31:D51,E31:E51,1)/48)</f>
        <v>5.5339859052946636</v>
      </c>
      <c r="AE44" t="s">
        <v>369</v>
      </c>
    </row>
    <row r="45" spans="3:31" x14ac:dyDescent="0.3">
      <c r="C45" s="2" t="s">
        <v>299</v>
      </c>
      <c r="D45" s="37" cm="1">
        <f t="array" aca="1" ref="D45" ca="1">INDIRECT("'" &amp; C45 &amp; "'!$E$38")</f>
        <v>6</v>
      </c>
      <c r="E45" s="37" cm="1">
        <f t="array" aca="1" ref="E45" ca="1">INDIRECT("'" &amp; C45 &amp; "'!$F$38")</f>
        <v>6</v>
      </c>
      <c r="G45" t="s">
        <v>312</v>
      </c>
      <c r="H45" s="65">
        <f ca="1">SUM(D31:D51)</f>
        <v>103</v>
      </c>
      <c r="M45" t="s">
        <v>312</v>
      </c>
      <c r="N45" s="65">
        <f ca="1">SUM(E31:E51)</f>
        <v>112</v>
      </c>
      <c r="AC45" t="s">
        <v>370</v>
      </c>
      <c r="AD45" s="74">
        <f ca="1">ABS(ABS(AD40-AD43)-1/2)/AD44</f>
        <v>2.4394713378441786</v>
      </c>
      <c r="AE45" t="s">
        <v>371</v>
      </c>
    </row>
    <row r="46" spans="3:31" x14ac:dyDescent="0.3">
      <c r="C46" s="2" t="s">
        <v>395</v>
      </c>
      <c r="D46" s="37" cm="1">
        <f t="array" aca="1" ref="D46" ca="1">INDIRECT("'" &amp; C46 &amp; "'!$E$38")</f>
        <v>5</v>
      </c>
      <c r="E46" s="37" cm="1">
        <f t="array" aca="1" ref="E46" ca="1">INDIRECT("'" &amp; C46 &amp; "'!$F$38")</f>
        <v>5</v>
      </c>
      <c r="G46" t="s">
        <v>313</v>
      </c>
      <c r="H46">
        <f ca="1">COUNT(D31:D51)</f>
        <v>21</v>
      </c>
      <c r="M46" t="s">
        <v>313</v>
      </c>
      <c r="N46">
        <f ca="1">COUNT(E31:E51)</f>
        <v>21</v>
      </c>
      <c r="AC46" t="s">
        <v>372</v>
      </c>
      <c r="AD46" s="74">
        <f ca="1">AD45/SQRT(AD37)</f>
        <v>0.92203349862938944</v>
      </c>
    </row>
    <row r="47" spans="3:31" x14ac:dyDescent="0.3">
      <c r="C47" s="2" t="s">
        <v>396</v>
      </c>
      <c r="D47" s="37" cm="1">
        <f t="array" aca="1" ref="D47" ca="1">INDIRECT("'" &amp; C47 &amp; "'!$E$38")</f>
        <v>4</v>
      </c>
      <c r="E47" s="37" cm="1">
        <f t="array" aca="1" ref="E47" ca="1">INDIRECT("'" &amp; C47 &amp; "'!$F$38")</f>
        <v>4</v>
      </c>
      <c r="G47" t="s">
        <v>314</v>
      </c>
      <c r="H47">
        <f ca="1">GEOMEAN(D31:D51)</f>
        <v>4.6460979365555533</v>
      </c>
      <c r="M47" t="s">
        <v>314</v>
      </c>
      <c r="N47">
        <f ca="1">GEOMEAN(E31:E51)</f>
        <v>5.1864738799930201</v>
      </c>
      <c r="AC47" t="s">
        <v>373</v>
      </c>
      <c r="AD47" s="88">
        <f ca="1">1-_xlfn.NORM.S.DIST(AD45,TRUE)</f>
        <v>7.3543847215585822E-3</v>
      </c>
      <c r="AE47" s="104">
        <f ca="1">2*AD47</f>
        <v>1.4708769443117164E-2</v>
      </c>
    </row>
    <row r="48" spans="3:31" x14ac:dyDescent="0.3">
      <c r="C48" s="2" t="s">
        <v>397</v>
      </c>
      <c r="D48" s="37" cm="1">
        <f t="array" aca="1" ref="D48" ca="1">INDIRECT("'" &amp; C48 &amp; "'!$E$38")</f>
        <v>5</v>
      </c>
      <c r="E48" s="37" cm="1">
        <f t="array" aca="1" ref="E48" ca="1">INDIRECT("'" &amp; C48 &amp; "'!$F$38")</f>
        <v>5</v>
      </c>
      <c r="G48" t="s">
        <v>315</v>
      </c>
      <c r="H48">
        <f ca="1">HARMEAN(D31:D51)</f>
        <v>4.1505882352941175</v>
      </c>
      <c r="M48" t="s">
        <v>315</v>
      </c>
      <c r="N48">
        <f ca="1">HARMEAN(E31:E51)</f>
        <v>4.9774266365688487</v>
      </c>
      <c r="AC48" t="s">
        <v>374</v>
      </c>
      <c r="AD48" s="74">
        <f ca="1">[1]!SRDIST(AD40,AD37,1)</f>
        <v>7.8125E-3</v>
      </c>
      <c r="AE48" s="77">
        <f ca="1">2*AD48</f>
        <v>1.5625E-2</v>
      </c>
    </row>
    <row r="49" spans="3:31" x14ac:dyDescent="0.3">
      <c r="C49" s="2" t="s">
        <v>398</v>
      </c>
      <c r="D49" s="37" cm="1">
        <f t="array" aca="1" ref="D49" ca="1">INDIRECT("'" &amp; C49 &amp; "'!$E$38")</f>
        <v>5</v>
      </c>
      <c r="E49" s="37" cm="1">
        <f t="array" aca="1" ref="E49" ca="1">INDIRECT("'" &amp; C49 &amp; "'!$F$38")</f>
        <v>6</v>
      </c>
      <c r="G49" t="s">
        <v>316</v>
      </c>
      <c r="H49">
        <f ca="1">AVEDEV(D31:D51)</f>
        <v>0.81179138321995448</v>
      </c>
      <c r="M49" t="s">
        <v>316</v>
      </c>
      <c r="N49">
        <f ca="1">AVEDEV(E31:E51)</f>
        <v>0.82539682539682535</v>
      </c>
      <c r="AC49" t="s">
        <v>375</v>
      </c>
      <c r="AD49" s="75" t="s">
        <v>376</v>
      </c>
      <c r="AE49" s="78" t="s">
        <v>376</v>
      </c>
    </row>
    <row r="50" spans="3:31" x14ac:dyDescent="0.3">
      <c r="C50" s="2" t="s">
        <v>399</v>
      </c>
      <c r="D50" s="37" cm="1">
        <f t="array" aca="1" ref="D50" ca="1">INDIRECT("'" &amp; C50 &amp; "'!$E$38")</f>
        <v>5</v>
      </c>
      <c r="E50" s="37" cm="1">
        <f t="array" aca="1" ref="E50" ca="1">INDIRECT("'" &amp; C50 &amp; "'!$F$38")</f>
        <v>6</v>
      </c>
      <c r="G50" t="s">
        <v>317</v>
      </c>
      <c r="H50">
        <f ca="1">[1]!MAD(D31:D51)</f>
        <v>1</v>
      </c>
      <c r="M50" t="s">
        <v>317</v>
      </c>
      <c r="N50">
        <f ca="1">[1]!MAD(E31:E51)</f>
        <v>1</v>
      </c>
    </row>
    <row r="51" spans="3:31" x14ac:dyDescent="0.3">
      <c r="C51" s="2" t="s">
        <v>400</v>
      </c>
      <c r="D51" s="37" cm="1">
        <f t="array" aca="1" ref="D51" ca="1">INDIRECT("'" &amp; C51 &amp; "'!$E$38")</f>
        <v>1</v>
      </c>
      <c r="E51" s="37" cm="1">
        <f t="array" aca="1" ref="E51" ca="1">INDIRECT("'" &amp; C51 &amp; "'!$F$38")</f>
        <v>2</v>
      </c>
      <c r="G51" s="63" t="s">
        <v>318</v>
      </c>
      <c r="H51" s="63">
        <f ca="1">[1]!IQR(D31:D51,FALSE)</f>
        <v>1</v>
      </c>
      <c r="M51" s="63" t="s">
        <v>318</v>
      </c>
      <c r="N51" s="63">
        <f ca="1">[1]!IQR(E31:E51,FALSE)</f>
        <v>1</v>
      </c>
    </row>
    <row r="55" spans="3:31" x14ac:dyDescent="0.3">
      <c r="C55" s="2"/>
      <c r="D55" s="59" t="s">
        <v>67</v>
      </c>
      <c r="E55" s="2"/>
    </row>
    <row r="56" spans="3:31" x14ac:dyDescent="0.3">
      <c r="C56" s="2"/>
      <c r="D56" s="2"/>
      <c r="E56" s="2"/>
    </row>
    <row r="57" spans="3:31" x14ac:dyDescent="0.3">
      <c r="C57" s="2" t="s">
        <v>285</v>
      </c>
      <c r="D57" s="37" cm="1">
        <f t="array" aca="1" ref="D57" ca="1">INDIRECT("'" &amp; C57 &amp; "'!$E$39")</f>
        <v>5</v>
      </c>
      <c r="E57" s="37" cm="1">
        <f t="array" aca="1" ref="E57" ca="1">INDIRECT("'" &amp; C57 &amp; "'!$F$39")</f>
        <v>7</v>
      </c>
      <c r="G57" t="s">
        <v>300</v>
      </c>
      <c r="J57" t="s">
        <v>331</v>
      </c>
      <c r="M57" t="s">
        <v>300</v>
      </c>
      <c r="P57" t="s">
        <v>331</v>
      </c>
      <c r="S57" t="s">
        <v>338</v>
      </c>
      <c r="AC57" t="s">
        <v>358</v>
      </c>
    </row>
    <row r="58" spans="3:31" x14ac:dyDescent="0.3">
      <c r="C58" s="2" t="s">
        <v>286</v>
      </c>
      <c r="D58" s="37" cm="1">
        <f t="array" aca="1" ref="D58" ca="1">INDIRECT("'" &amp; C58 &amp; "'!$E$39")</f>
        <v>5</v>
      </c>
      <c r="E58" s="37" cm="1">
        <f t="array" aca="1" ref="E58" ca="1">INDIRECT("'" &amp; C58 &amp; "'!$F$39")</f>
        <v>5</v>
      </c>
    </row>
    <row r="59" spans="3:31" ht="15" thickBot="1" x14ac:dyDescent="0.35">
      <c r="C59" s="2" t="s">
        <v>287</v>
      </c>
      <c r="D59" s="37" cm="1">
        <f t="array" aca="1" ref="D59" ca="1">INDIRECT("'" &amp; C59 &amp; "'!$E$39")</f>
        <v>5</v>
      </c>
      <c r="E59" s="37" cm="1">
        <f t="array" aca="1" ref="E59" ca="1">INDIRECT("'" &amp; C59 &amp; "'!$F$39")</f>
        <v>6</v>
      </c>
      <c r="G59" s="64"/>
      <c r="H59" s="64" t="s">
        <v>379</v>
      </c>
      <c r="J59" s="64"/>
      <c r="K59" s="64" t="s">
        <v>379</v>
      </c>
      <c r="M59" s="64"/>
      <c r="N59" s="64" t="s">
        <v>379</v>
      </c>
      <c r="P59" s="64"/>
      <c r="Q59" s="64" t="s">
        <v>379</v>
      </c>
      <c r="S59" t="s">
        <v>339</v>
      </c>
      <c r="V59" t="s">
        <v>340</v>
      </c>
      <c r="W59">
        <v>0.05</v>
      </c>
      <c r="Y59" t="s">
        <v>341</v>
      </c>
      <c r="Z59">
        <v>0</v>
      </c>
      <c r="AD59" t="s">
        <v>381</v>
      </c>
      <c r="AE59" t="s">
        <v>382</v>
      </c>
    </row>
    <row r="60" spans="3:31" ht="15" thickTop="1" x14ac:dyDescent="0.3">
      <c r="C60" s="2" t="s">
        <v>288</v>
      </c>
      <c r="D60" s="37" cm="1">
        <f t="array" aca="1" ref="D60" ca="1">INDIRECT("'" &amp; C60 &amp; "'!$E$39")</f>
        <v>5</v>
      </c>
      <c r="E60" s="37" cm="1">
        <f t="array" aca="1" ref="E60" ca="1">INDIRECT("'" &amp; C60 &amp; "'!$F$39")</f>
        <v>6</v>
      </c>
      <c r="G60" t="s">
        <v>301</v>
      </c>
      <c r="H60" s="65">
        <f ca="1">AVERAGE(D57:D77)</f>
        <v>5.666666666666667</v>
      </c>
      <c r="J60" t="s">
        <v>332</v>
      </c>
      <c r="K60">
        <f ca="1">[1]!SHAPIRO(D57:D77)</f>
        <v>0.84618457582940954</v>
      </c>
      <c r="M60" t="s">
        <v>301</v>
      </c>
      <c r="N60" s="65">
        <f ca="1">AVERAGE(E57:E77)</f>
        <v>6.1904761904761907</v>
      </c>
      <c r="P60" t="s">
        <v>332</v>
      </c>
      <c r="Q60">
        <f ca="1">[1]!SHAPIRO(E57:E77)</f>
        <v>0.80302673721510032</v>
      </c>
      <c r="S60" s="68" t="s">
        <v>342</v>
      </c>
      <c r="T60" s="68" t="s">
        <v>313</v>
      </c>
      <c r="U60" s="68" t="s">
        <v>301</v>
      </c>
      <c r="V60" s="68" t="s">
        <v>343</v>
      </c>
      <c r="W60" s="68" t="s">
        <v>344</v>
      </c>
      <c r="X60" s="68" t="s">
        <v>345</v>
      </c>
      <c r="Y60" s="68" t="s">
        <v>346</v>
      </c>
      <c r="Z60" s="68" t="s">
        <v>347</v>
      </c>
      <c r="AA60" s="68" t="s">
        <v>348</v>
      </c>
      <c r="AC60" t="s">
        <v>359</v>
      </c>
      <c r="AD60" s="102">
        <f ca="1">MEDIAN(D57:D77)</f>
        <v>6</v>
      </c>
      <c r="AE60" s="103">
        <f ca="1">MEDIAN(E57:E77)</f>
        <v>6</v>
      </c>
    </row>
    <row r="61" spans="3:31" x14ac:dyDescent="0.3">
      <c r="C61" s="2" t="s">
        <v>289</v>
      </c>
      <c r="D61" s="37" cm="1">
        <f t="array" aca="1" ref="D61" ca="1">INDIRECT("'" &amp; C61 &amp; "'!$E$39")</f>
        <v>6</v>
      </c>
      <c r="E61" s="37" cm="1">
        <f t="array" aca="1" ref="E61" ca="1">INDIRECT("'" &amp; C61 &amp; "'!$F$39")</f>
        <v>7</v>
      </c>
      <c r="G61" t="s">
        <v>302</v>
      </c>
      <c r="H61">
        <f ca="1">_xlfn.STDEV.S(D57:D77)/SQRT(COUNT(D57:D77))</f>
        <v>0.15936381457791887</v>
      </c>
      <c r="J61" t="s">
        <v>333</v>
      </c>
      <c r="K61">
        <f ca="1">[1]!SWTEST(D57:D77)</f>
        <v>3.6537128033194977E-3</v>
      </c>
      <c r="M61" t="s">
        <v>302</v>
      </c>
      <c r="N61">
        <f ca="1">_xlfn.STDEV.S(E57:E77)/SQRT(COUNT(E57:E77))</f>
        <v>0.16357680035540598</v>
      </c>
      <c r="P61" t="s">
        <v>333</v>
      </c>
      <c r="Q61">
        <f ca="1">[1]!SWTEST(E57:E77)</f>
        <v>7.3008028612298048E-4</v>
      </c>
      <c r="S61" t="s">
        <v>379</v>
      </c>
      <c r="T61">
        <f ca="1">COUNT(D57:D77)</f>
        <v>21</v>
      </c>
      <c r="U61" s="65">
        <f ca="1">AVERAGE(D57:D77)</f>
        <v>5.666666666666667</v>
      </c>
      <c r="V61">
        <f ca="1">_xlfn.STDEV.S(D57:D77)</f>
        <v>0.73029674334022021</v>
      </c>
    </row>
    <row r="62" spans="3:31" x14ac:dyDescent="0.3">
      <c r="C62" s="2" t="s">
        <v>290</v>
      </c>
      <c r="D62" s="37" cm="1">
        <f t="array" aca="1" ref="D62" ca="1">INDIRECT("'" &amp; C62 &amp; "'!$E$39")</f>
        <v>6</v>
      </c>
      <c r="E62" s="37" cm="1">
        <f t="array" aca="1" ref="E62" ca="1">INDIRECT("'" &amp; C62 &amp; "'!$F$39")</f>
        <v>6</v>
      </c>
      <c r="G62" t="s">
        <v>303</v>
      </c>
      <c r="H62" s="65">
        <f ca="1">MEDIAN(D57:D77)</f>
        <v>6</v>
      </c>
      <c r="J62" t="s">
        <v>334</v>
      </c>
      <c r="K62">
        <v>0.05</v>
      </c>
      <c r="M62" t="s">
        <v>303</v>
      </c>
      <c r="N62" s="65">
        <f ca="1">MEDIAN(E57:E77)</f>
        <v>6</v>
      </c>
      <c r="P62" t="s">
        <v>334</v>
      </c>
      <c r="Q62">
        <v>0.05</v>
      </c>
      <c r="S62" t="s">
        <v>380</v>
      </c>
      <c r="T62">
        <f ca="1">COUNT(E57:E77)</f>
        <v>21</v>
      </c>
      <c r="U62" s="65">
        <f ca="1">AVERAGE(E57:E77)</f>
        <v>6.1904761904761907</v>
      </c>
      <c r="V62">
        <f ca="1">_xlfn.STDEV.S(E57:E77)</f>
        <v>0.74960306956732725</v>
      </c>
      <c r="AC62" t="s">
        <v>360</v>
      </c>
      <c r="AD62" s="88">
        <f ca="1">SUMPRODUCT(--ISNUMBER(D57:D77),--ISNUMBER(E57:E77))</f>
        <v>21</v>
      </c>
    </row>
    <row r="63" spans="3:31" x14ac:dyDescent="0.3">
      <c r="C63" s="2" t="s">
        <v>291</v>
      </c>
      <c r="D63" s="37" cm="1">
        <f t="array" aca="1" ref="D63" ca="1">INDIRECT("'" &amp; C63 &amp; "'!$E$39")</f>
        <v>6</v>
      </c>
      <c r="E63" s="37" cm="1">
        <f t="array" aca="1" ref="E63" ca="1">INDIRECT("'" &amp; C63 &amp; "'!$F$39")</f>
        <v>6</v>
      </c>
      <c r="G63" t="s">
        <v>304</v>
      </c>
      <c r="H63">
        <f ca="1">MODE(D57:D77)</f>
        <v>6</v>
      </c>
      <c r="J63" s="63" t="s">
        <v>335</v>
      </c>
      <c r="K63" s="66" t="str">
        <f ca="1">IF(K61&lt;K62,"no","yes")</f>
        <v>no</v>
      </c>
      <c r="M63" t="s">
        <v>304</v>
      </c>
      <c r="N63">
        <f ca="1">MODE(E57:E77)</f>
        <v>6</v>
      </c>
      <c r="P63" s="63" t="s">
        <v>335</v>
      </c>
      <c r="Q63" s="66" t="str">
        <f ca="1">IF(Q61&lt;Q62,"no","yes")</f>
        <v>no</v>
      </c>
      <c r="S63" s="85" t="s">
        <v>349</v>
      </c>
      <c r="T63" s="85">
        <f ca="1">T62</f>
        <v>21</v>
      </c>
      <c r="U63" s="100">
        <f ca="1">U61-U62</f>
        <v>-0.52380952380952372</v>
      </c>
      <c r="V63" s="85">
        <f t="array" aca="1" ref="V63" ca="1">_xlfn.STDEV.S(D57:D77-E57:E77)</f>
        <v>0.67963575678797383</v>
      </c>
      <c r="W63" s="85">
        <f ca="1">V63/SQRT(T63)</f>
        <v>0.14830868097521369</v>
      </c>
      <c r="X63" s="85">
        <f ca="1">(U61-U62-Z59)/W63</f>
        <v>-3.5318871448736449</v>
      </c>
      <c r="Y63" s="85">
        <f ca="1">T63-1</f>
        <v>20</v>
      </c>
      <c r="Z63" s="85">
        <f ca="1">ABS(U61-U62-Z59)/V63</f>
        <v>0.77072096130594958</v>
      </c>
      <c r="AA63" s="85">
        <f ca="1">SQRT(X63^2/(X63^2+Y63))</f>
        <v>0.61977978680091217</v>
      </c>
      <c r="AC63" t="s">
        <v>361</v>
      </c>
      <c r="AD63" s="74">
        <f ca="1">SUMPRODUCT(--ISNUMBER(D57:D77),--ISNUMBER(E57:E77),--(D57:D77&lt;&gt;E57:E77))</f>
        <v>9</v>
      </c>
    </row>
    <row r="64" spans="3:31" x14ac:dyDescent="0.3">
      <c r="C64" s="2" t="s">
        <v>292</v>
      </c>
      <c r="D64" s="37" cm="1">
        <f t="array" aca="1" ref="D64" ca="1">INDIRECT("'" &amp; C64 &amp; "'!$E$39")</f>
        <v>7</v>
      </c>
      <c r="E64" s="37" cm="1">
        <f t="array" aca="1" ref="E64" ca="1">INDIRECT("'" &amp; C64 &amp; "'!$F$39")</f>
        <v>7</v>
      </c>
      <c r="G64" t="s">
        <v>305</v>
      </c>
      <c r="H64">
        <f ca="1">_xlfn.STDEV.S(D57:D77)</f>
        <v>0.73029674334022021</v>
      </c>
      <c r="M64" t="s">
        <v>305</v>
      </c>
      <c r="N64">
        <f ca="1">_xlfn.STDEV.S(E57:E77)</f>
        <v>0.74960306956732725</v>
      </c>
      <c r="AC64" t="s">
        <v>362</v>
      </c>
      <c r="AD64" s="74">
        <f ca="1">IF(AD66&lt;=AD69,AD66,AD63*(AD63+1)/2)</f>
        <v>0</v>
      </c>
    </row>
    <row r="65" spans="3:31" ht="15" thickBot="1" x14ac:dyDescent="0.35">
      <c r="C65" s="2" t="s">
        <v>293</v>
      </c>
      <c r="D65" s="37" cm="1">
        <f t="array" aca="1" ref="D65" ca="1">INDIRECT("'" &amp; C65 &amp; "'!$E$39")</f>
        <v>6</v>
      </c>
      <c r="E65" s="37" cm="1">
        <f t="array" aca="1" ref="E65" ca="1">INDIRECT("'" &amp; C65 &amp; "'!$F$39")</f>
        <v>7</v>
      </c>
      <c r="G65" t="s">
        <v>306</v>
      </c>
      <c r="H65">
        <f ca="1">_xlfn.VAR.S(D57:D77)</f>
        <v>0.53333333333333144</v>
      </c>
      <c r="J65" t="s">
        <v>336</v>
      </c>
      <c r="M65" t="s">
        <v>306</v>
      </c>
      <c r="N65">
        <f ca="1">_xlfn.VAR.S(E57:E77)</f>
        <v>0.56190476190475924</v>
      </c>
      <c r="P65" t="s">
        <v>336</v>
      </c>
      <c r="S65" t="s">
        <v>350</v>
      </c>
      <c r="AC65" t="s">
        <v>363</v>
      </c>
      <c r="AD65" s="74">
        <f ca="1">AD63*(AD63+1)/2-AD64</f>
        <v>45</v>
      </c>
    </row>
    <row r="66" spans="3:31" ht="15" thickTop="1" x14ac:dyDescent="0.3">
      <c r="C66" s="2" t="s">
        <v>294</v>
      </c>
      <c r="D66" s="37" cm="1">
        <f t="array" aca="1" ref="D66" ca="1">INDIRECT("'" &amp; C66 &amp; "'!$E$39")</f>
        <v>6</v>
      </c>
      <c r="E66" s="37" cm="1">
        <f t="array" aca="1" ref="E66" ca="1">INDIRECT("'" &amp; C66 &amp; "'!$F$39")</f>
        <v>6</v>
      </c>
      <c r="G66" t="s">
        <v>307</v>
      </c>
      <c r="H66">
        <f ca="1">KURT(D57:D77)</f>
        <v>0.18503289473684248</v>
      </c>
      <c r="M66" t="s">
        <v>307</v>
      </c>
      <c r="N66">
        <f ca="1">KURT(E57:E77)</f>
        <v>-1.05255598058634</v>
      </c>
      <c r="S66" s="68" t="s">
        <v>351</v>
      </c>
      <c r="T66" s="68" t="s">
        <v>333</v>
      </c>
      <c r="U66" s="68" t="s">
        <v>352</v>
      </c>
      <c r="V66" s="68" t="s">
        <v>353</v>
      </c>
      <c r="W66" s="68" t="s">
        <v>354</v>
      </c>
      <c r="X66" s="68" t="s">
        <v>355</v>
      </c>
      <c r="AC66" t="s">
        <v>364</v>
      </c>
      <c r="AD66" s="75">
        <f ca="1">[1]!SRANK(D57:D77,E57:E77)</f>
        <v>0</v>
      </c>
    </row>
    <row r="67" spans="3:31" x14ac:dyDescent="0.3">
      <c r="C67" s="2" t="s">
        <v>295</v>
      </c>
      <c r="D67" s="37" cm="1">
        <f t="array" aca="1" ref="D67" ca="1">INDIRECT("'" &amp; C67 &amp; "'!$E$39")</f>
        <v>6</v>
      </c>
      <c r="E67" s="37" cm="1">
        <f t="array" aca="1" ref="E67" ca="1">INDIRECT("'" &amp; C67 &amp; "'!$F$39")</f>
        <v>6</v>
      </c>
      <c r="G67" t="s">
        <v>308</v>
      </c>
      <c r="H67">
        <f ca="1">SKEW(D57:D77)</f>
        <v>-0.22071057004731326</v>
      </c>
      <c r="J67" s="85" t="s">
        <v>337</v>
      </c>
      <c r="K67" s="85">
        <f ca="1">[1]!DAGOSTINO(D57:D77)</f>
        <v>0.40352300206090352</v>
      </c>
      <c r="M67" t="s">
        <v>308</v>
      </c>
      <c r="N67">
        <f ca="1">SKEW(E57:E77)</f>
        <v>-0.33678246136459944</v>
      </c>
      <c r="P67" s="85" t="s">
        <v>337</v>
      </c>
      <c r="Q67" s="85">
        <f ca="1">[1]!DAGOSTINO(E57:E77)</f>
        <v>2.5104353594205073</v>
      </c>
      <c r="S67" t="s">
        <v>356</v>
      </c>
      <c r="T67">
        <f ca="1">_xlfn.T.DIST.RT(ABS(X63),Y63)</f>
        <v>1.0472726206822046E-3</v>
      </c>
      <c r="U67">
        <f ca="1">_xlfn.T.INV.2T(W59*2,Y63)</f>
        <v>1.7247182429207868</v>
      </c>
      <c r="X67" s="70" t="str">
        <f ca="1">IF(T67&lt;W59,"yes","no")</f>
        <v>yes</v>
      </c>
    </row>
    <row r="68" spans="3:31" x14ac:dyDescent="0.3">
      <c r="C68" s="2" t="s">
        <v>296</v>
      </c>
      <c r="D68" s="37" cm="1">
        <f t="array" aca="1" ref="D68" ca="1">INDIRECT("'" &amp; C68 &amp; "'!$E$39")</f>
        <v>5</v>
      </c>
      <c r="E68" s="37" cm="1">
        <f t="array" aca="1" ref="E68" ca="1">INDIRECT("'" &amp; C68 &amp; "'!$F$39")</f>
        <v>5</v>
      </c>
      <c r="G68" t="s">
        <v>309</v>
      </c>
      <c r="H68">
        <f ca="1">H69-H70</f>
        <v>3</v>
      </c>
      <c r="J68" t="s">
        <v>333</v>
      </c>
      <c r="K68">
        <f ca="1">[1]!DPTEST(D57:D77)</f>
        <v>0.81728982748131973</v>
      </c>
      <c r="M68" t="s">
        <v>309</v>
      </c>
      <c r="N68">
        <f ca="1">N69-N70</f>
        <v>2</v>
      </c>
      <c r="P68" t="s">
        <v>333</v>
      </c>
      <c r="Q68">
        <f ca="1">[1]!DPTEST(E57:E77)</f>
        <v>0.28501379975000374</v>
      </c>
      <c r="S68" t="s">
        <v>357</v>
      </c>
      <c r="T68">
        <f ca="1">_xlfn.T.DIST.2T(ABS(X63),Y63)</f>
        <v>2.0945452413644091E-3</v>
      </c>
      <c r="U68">
        <f ca="1">_xlfn.T.INV.2T(W59,Y63)</f>
        <v>2.0859634472658648</v>
      </c>
      <c r="V68">
        <f ca="1">(U61-U62)-W63*U68</f>
        <v>-0.8331760112360338</v>
      </c>
      <c r="W68">
        <f ca="1">(U61-U62)+W63*U68</f>
        <v>-0.2144430363830136</v>
      </c>
      <c r="X68" s="70" t="str">
        <f ca="1">IF(T68&lt;W59,"yes","no")</f>
        <v>yes</v>
      </c>
      <c r="AD68" s="70" t="s">
        <v>365</v>
      </c>
      <c r="AE68" s="70" t="s">
        <v>366</v>
      </c>
    </row>
    <row r="69" spans="3:31" x14ac:dyDescent="0.3">
      <c r="C69" s="2" t="s">
        <v>297</v>
      </c>
      <c r="D69" s="37" cm="1">
        <f t="array" aca="1" ref="D69" ca="1">INDIRECT("'" &amp; C69 &amp; "'!$E$39")</f>
        <v>5</v>
      </c>
      <c r="E69" s="37" cm="1">
        <f t="array" aca="1" ref="E69" ca="1">INDIRECT("'" &amp; C69 &amp; "'!$F$39")</f>
        <v>5</v>
      </c>
      <c r="G69" t="s">
        <v>310</v>
      </c>
      <c r="H69" s="65">
        <f ca="1">MAX(D57:D77)</f>
        <v>7</v>
      </c>
      <c r="J69" t="s">
        <v>334</v>
      </c>
      <c r="K69">
        <v>0.05</v>
      </c>
      <c r="M69" t="s">
        <v>310</v>
      </c>
      <c r="N69" s="65">
        <f ca="1">MAX(E57:E77)</f>
        <v>7</v>
      </c>
      <c r="P69" t="s">
        <v>334</v>
      </c>
      <c r="Q69">
        <v>0.05</v>
      </c>
      <c r="S69" s="85"/>
      <c r="T69" s="85"/>
      <c r="U69" s="85"/>
      <c r="V69" s="85"/>
      <c r="W69" s="85"/>
      <c r="X69" s="85"/>
      <c r="AC69" t="s">
        <v>367</v>
      </c>
      <c r="AD69" s="88">
        <f ca="1">AD63*(AD63+1)/4</f>
        <v>22.5</v>
      </c>
    </row>
    <row r="70" spans="3:31" x14ac:dyDescent="0.3">
      <c r="C70" s="2" t="s">
        <v>298</v>
      </c>
      <c r="D70" s="37" cm="1">
        <f t="array" aca="1" ref="D70" ca="1">INDIRECT("'" &amp; C70 &amp; "'!$E$39")</f>
        <v>6</v>
      </c>
      <c r="E70" s="37" cm="1">
        <f t="array" aca="1" ref="E70" ca="1">INDIRECT("'" &amp; C70 &amp; "'!$F$39")</f>
        <v>7</v>
      </c>
      <c r="G70" t="s">
        <v>311</v>
      </c>
      <c r="H70" s="65">
        <f ca="1">MIN(D57:D77)</f>
        <v>4</v>
      </c>
      <c r="J70" s="63" t="s">
        <v>335</v>
      </c>
      <c r="K70" s="66" t="str">
        <f ca="1">IF(K68&lt;K69,"no","yes")</f>
        <v>yes</v>
      </c>
      <c r="M70" t="s">
        <v>311</v>
      </c>
      <c r="N70" s="65">
        <f ca="1">MIN(E57:E77)</f>
        <v>5</v>
      </c>
      <c r="P70" s="63" t="s">
        <v>335</v>
      </c>
      <c r="Q70" s="66" t="str">
        <f ca="1">IF(Q68&lt;Q69,"no","yes")</f>
        <v>yes</v>
      </c>
      <c r="AC70" t="s">
        <v>368</v>
      </c>
      <c r="AD70" s="74">
        <f ca="1">SQRT(AD69*(2*AD63+1)/6-[1]!TiesCorrection(D57:D77,E57:E77,1)/48)</f>
        <v>8.0078086890234825</v>
      </c>
      <c r="AE70" t="s">
        <v>369</v>
      </c>
    </row>
    <row r="71" spans="3:31" x14ac:dyDescent="0.3">
      <c r="C71" s="2" t="s">
        <v>299</v>
      </c>
      <c r="D71" s="37" cm="1">
        <f t="array" aca="1" ref="D71" ca="1">INDIRECT("'" &amp; C71 &amp; "'!$E$39")</f>
        <v>6</v>
      </c>
      <c r="E71" s="37" cm="1">
        <f t="array" aca="1" ref="E71" ca="1">INDIRECT("'" &amp; C71 &amp; "'!$F$39")</f>
        <v>6</v>
      </c>
      <c r="G71" t="s">
        <v>312</v>
      </c>
      <c r="H71" s="65">
        <f ca="1">SUM(D57:D77)</f>
        <v>119</v>
      </c>
      <c r="M71" t="s">
        <v>312</v>
      </c>
      <c r="N71" s="65">
        <f ca="1">SUM(E57:E77)</f>
        <v>130</v>
      </c>
      <c r="AC71" t="s">
        <v>370</v>
      </c>
      <c r="AD71" s="74">
        <f ca="1">ABS(ABS(AD66-AD69)-1/2)/AD70</f>
        <v>2.7473183806396357</v>
      </c>
      <c r="AE71" t="s">
        <v>371</v>
      </c>
    </row>
    <row r="72" spans="3:31" x14ac:dyDescent="0.3">
      <c r="C72" s="2" t="s">
        <v>395</v>
      </c>
      <c r="D72" s="37" cm="1">
        <f t="array" aca="1" ref="D72" ca="1">INDIRECT("'" &amp; C72 &amp; "'!$E$39")</f>
        <v>6</v>
      </c>
      <c r="E72" s="37" cm="1">
        <f t="array" aca="1" ref="E72" ca="1">INDIRECT("'" &amp; C72 &amp; "'!$F$39")</f>
        <v>6</v>
      </c>
      <c r="G72" t="s">
        <v>313</v>
      </c>
      <c r="H72">
        <f ca="1">COUNT(D57:D77)</f>
        <v>21</v>
      </c>
      <c r="M72" t="s">
        <v>313</v>
      </c>
      <c r="N72">
        <f ca="1">COUNT(E57:E77)</f>
        <v>21</v>
      </c>
      <c r="AC72" t="s">
        <v>372</v>
      </c>
      <c r="AD72" s="74">
        <f ca="1">AD71/SQRT(AD63)</f>
        <v>0.91577279354654528</v>
      </c>
    </row>
    <row r="73" spans="3:31" x14ac:dyDescent="0.3">
      <c r="C73" s="2" t="s">
        <v>396</v>
      </c>
      <c r="D73" s="37" cm="1">
        <f t="array" aca="1" ref="D73" ca="1">INDIRECT("'" &amp; C73 &amp; "'!$E$39")</f>
        <v>4</v>
      </c>
      <c r="E73" s="37" cm="1">
        <f t="array" aca="1" ref="E73" ca="1">INDIRECT("'" &amp; C73 &amp; "'!$F$39")</f>
        <v>5</v>
      </c>
      <c r="G73" t="s">
        <v>314</v>
      </c>
      <c r="H73">
        <f ca="1">GEOMEAN(D57:D77)</f>
        <v>5.620152348425508</v>
      </c>
      <c r="M73" t="s">
        <v>314</v>
      </c>
      <c r="N73">
        <f ca="1">GEOMEAN(E57:E77)</f>
        <v>6.1457182642642074</v>
      </c>
      <c r="AC73" t="s">
        <v>373</v>
      </c>
      <c r="AD73" s="88">
        <f ca="1">1-_xlfn.NORM.S.DIST(AD71,TRUE)</f>
        <v>3.0042388151234611E-3</v>
      </c>
      <c r="AE73" s="104">
        <f ca="1">2*AD73</f>
        <v>6.0084776302469223E-3</v>
      </c>
    </row>
    <row r="74" spans="3:31" x14ac:dyDescent="0.3">
      <c r="C74" s="2" t="s">
        <v>397</v>
      </c>
      <c r="D74" s="37" cm="1">
        <f t="array" aca="1" ref="D74" ca="1">INDIRECT("'" &amp; C74 &amp; "'!$E$39")</f>
        <v>5</v>
      </c>
      <c r="E74" s="37" cm="1">
        <f t="array" aca="1" ref="E74" ca="1">INDIRECT("'" &amp; C74 &amp; "'!$F$39")</f>
        <v>7</v>
      </c>
      <c r="G74" t="s">
        <v>315</v>
      </c>
      <c r="H74">
        <f ca="1">HARMEAN(D57:D77)</f>
        <v>5.5716993051168666</v>
      </c>
      <c r="M74" t="s">
        <v>315</v>
      </c>
      <c r="N74">
        <f ca="1">HARMEAN(E57:E77)</f>
        <v>6.0995850622406644</v>
      </c>
      <c r="AC74" t="s">
        <v>374</v>
      </c>
      <c r="AD74" s="74">
        <f ca="1">[1]!SRDIST(AD66,AD63,1)</f>
        <v>1.953125E-3</v>
      </c>
      <c r="AE74" s="77">
        <f ca="1">2*AD74</f>
        <v>3.90625E-3</v>
      </c>
    </row>
    <row r="75" spans="3:31" x14ac:dyDescent="0.3">
      <c r="C75" s="2" t="s">
        <v>398</v>
      </c>
      <c r="D75" s="37" cm="1">
        <f t="array" aca="1" ref="D75" ca="1">INDIRECT("'" &amp; C75 &amp; "'!$E$39")</f>
        <v>6</v>
      </c>
      <c r="E75" s="37" cm="1">
        <f t="array" aca="1" ref="E75" ca="1">INDIRECT("'" &amp; C75 &amp; "'!$F$39")</f>
        <v>6</v>
      </c>
      <c r="G75" t="s">
        <v>316</v>
      </c>
      <c r="H75">
        <f ca="1">AVEDEV(D57:D77)</f>
        <v>0.60317460317460303</v>
      </c>
      <c r="M75" t="s">
        <v>316</v>
      </c>
      <c r="N75">
        <f ca="1">AVEDEV(E57:E77)</f>
        <v>0.6167800453514739</v>
      </c>
      <c r="AC75" t="s">
        <v>375</v>
      </c>
      <c r="AD75" s="75" t="s">
        <v>376</v>
      </c>
      <c r="AE75" s="78" t="s">
        <v>376</v>
      </c>
    </row>
    <row r="76" spans="3:31" x14ac:dyDescent="0.3">
      <c r="C76" s="2" t="s">
        <v>399</v>
      </c>
      <c r="D76" s="37" cm="1">
        <f t="array" aca="1" ref="D76" ca="1">INDIRECT("'" &amp; C76 &amp; "'!$E$39")</f>
        <v>6</v>
      </c>
      <c r="E76" s="37" cm="1">
        <f t="array" aca="1" ref="E76" ca="1">INDIRECT("'" &amp; C76 &amp; "'!$F$39")</f>
        <v>7</v>
      </c>
      <c r="G76" t="s">
        <v>317</v>
      </c>
      <c r="H76">
        <f ca="1">[1]!MAD(D57:D77)</f>
        <v>0</v>
      </c>
      <c r="M76" t="s">
        <v>317</v>
      </c>
      <c r="N76">
        <f ca="1">[1]!MAD(E57:E77)</f>
        <v>1</v>
      </c>
    </row>
    <row r="77" spans="3:31" x14ac:dyDescent="0.3">
      <c r="C77" s="2" t="s">
        <v>400</v>
      </c>
      <c r="D77" s="37" cm="1">
        <f t="array" aca="1" ref="D77" ca="1">INDIRECT("'" &amp; C77 &amp; "'!$E$39")</f>
        <v>7</v>
      </c>
      <c r="E77" s="37" cm="1">
        <f t="array" aca="1" ref="E77" ca="1">INDIRECT("'" &amp; C77 &amp; "'!$F$39")</f>
        <v>7</v>
      </c>
      <c r="G77" s="63" t="s">
        <v>318</v>
      </c>
      <c r="H77" s="63">
        <f ca="1">[1]!IQR(D57:D77,FALSE)</f>
        <v>1</v>
      </c>
      <c r="M77" s="63" t="s">
        <v>318</v>
      </c>
      <c r="N77" s="63">
        <f ca="1">[1]!IQR(E57:E77,FALSE)</f>
        <v>1</v>
      </c>
    </row>
    <row r="78" spans="3:31" x14ac:dyDescent="0.3">
      <c r="E78" s="37"/>
    </row>
    <row r="81" spans="3:31" x14ac:dyDescent="0.3">
      <c r="C81" s="2"/>
      <c r="D81" s="59" t="s">
        <v>70</v>
      </c>
      <c r="E81" s="2"/>
    </row>
    <row r="82" spans="3:31" x14ac:dyDescent="0.3">
      <c r="C82" s="2"/>
      <c r="D82" s="2"/>
      <c r="E82" s="2"/>
    </row>
    <row r="83" spans="3:31" x14ac:dyDescent="0.3">
      <c r="C83" s="2" t="s">
        <v>285</v>
      </c>
      <c r="D83" s="37" cm="1">
        <f t="array" aca="1" ref="D83" ca="1">INDIRECT("'" &amp; C83 &amp; "'!$E$40")</f>
        <v>4</v>
      </c>
      <c r="E83" s="37" cm="1">
        <f t="array" aca="1" ref="E83" ca="1">INDIRECT("'" &amp; C83 &amp; "'!$F$40")</f>
        <v>3</v>
      </c>
      <c r="G83" t="s">
        <v>300</v>
      </c>
      <c r="J83" t="s">
        <v>331</v>
      </c>
      <c r="M83" t="s">
        <v>300</v>
      </c>
      <c r="P83" t="s">
        <v>331</v>
      </c>
      <c r="S83" t="s">
        <v>338</v>
      </c>
      <c r="AC83" t="s">
        <v>358</v>
      </c>
    </row>
    <row r="84" spans="3:31" x14ac:dyDescent="0.3">
      <c r="C84" s="2" t="s">
        <v>286</v>
      </c>
      <c r="D84" s="37" cm="1">
        <f t="array" aca="1" ref="D84" ca="1">INDIRECT("'" &amp; C84 &amp; "'!$E$40")</f>
        <v>6</v>
      </c>
      <c r="E84" s="37" cm="1">
        <f t="array" aca="1" ref="E84" ca="1">INDIRECT("'" &amp; C84 &amp; "'!$F$40")</f>
        <v>4</v>
      </c>
    </row>
    <row r="85" spans="3:31" ht="15" thickBot="1" x14ac:dyDescent="0.35">
      <c r="C85" s="2" t="s">
        <v>287</v>
      </c>
      <c r="D85" s="37" cm="1">
        <f t="array" aca="1" ref="D85" ca="1">INDIRECT("'" &amp; C85 &amp; "'!$E$40")</f>
        <v>5</v>
      </c>
      <c r="E85" s="37" cm="1">
        <f t="array" aca="1" ref="E85" ca="1">INDIRECT("'" &amp; C85 &amp; "'!$F$40")</f>
        <v>2</v>
      </c>
      <c r="G85" s="64"/>
      <c r="H85" s="64" t="s">
        <v>379</v>
      </c>
      <c r="J85" s="64"/>
      <c r="K85" s="64" t="s">
        <v>379</v>
      </c>
      <c r="M85" s="64"/>
      <c r="N85" s="64" t="s">
        <v>379</v>
      </c>
      <c r="P85" s="64"/>
      <c r="Q85" s="64" t="s">
        <v>379</v>
      </c>
      <c r="S85" t="s">
        <v>339</v>
      </c>
      <c r="V85" t="s">
        <v>340</v>
      </c>
      <c r="W85">
        <v>0.05</v>
      </c>
      <c r="Y85" t="s">
        <v>341</v>
      </c>
      <c r="Z85">
        <v>0</v>
      </c>
      <c r="AD85" t="s">
        <v>381</v>
      </c>
      <c r="AE85" t="s">
        <v>382</v>
      </c>
    </row>
    <row r="86" spans="3:31" ht="15" thickTop="1" x14ac:dyDescent="0.3">
      <c r="C86" s="2" t="s">
        <v>288</v>
      </c>
      <c r="D86" s="37" cm="1">
        <f t="array" aca="1" ref="D86" ca="1">INDIRECT("'" &amp; C86 &amp; "'!$E$40")</f>
        <v>2</v>
      </c>
      <c r="E86" s="37" cm="1">
        <f t="array" aca="1" ref="E86" ca="1">INDIRECT("'" &amp; C86 &amp; "'!$F$40")</f>
        <v>1</v>
      </c>
      <c r="G86" t="s">
        <v>301</v>
      </c>
      <c r="H86" s="65">
        <f ca="1">AVERAGE(D83:D103)</f>
        <v>4.3809523809523814</v>
      </c>
      <c r="J86" t="s">
        <v>332</v>
      </c>
      <c r="K86">
        <f ca="1">[1]!SHAPIRO(D83:D103)</f>
        <v>0.92311589482536183</v>
      </c>
      <c r="M86" t="s">
        <v>301</v>
      </c>
      <c r="N86" s="65">
        <f ca="1">AVERAGE(E83:E103)</f>
        <v>3.4761904761904763</v>
      </c>
      <c r="P86" t="s">
        <v>332</v>
      </c>
      <c r="Q86">
        <f ca="1">[1]!SHAPIRO(E83:E103)</f>
        <v>0.9503443857497168</v>
      </c>
      <c r="S86" s="68" t="s">
        <v>342</v>
      </c>
      <c r="T86" s="68" t="s">
        <v>313</v>
      </c>
      <c r="U86" s="68" t="s">
        <v>301</v>
      </c>
      <c r="V86" s="68" t="s">
        <v>343</v>
      </c>
      <c r="W86" s="68" t="s">
        <v>344</v>
      </c>
      <c r="X86" s="68" t="s">
        <v>345</v>
      </c>
      <c r="Y86" s="68" t="s">
        <v>346</v>
      </c>
      <c r="Z86" s="68" t="s">
        <v>347</v>
      </c>
      <c r="AA86" s="68" t="s">
        <v>348</v>
      </c>
      <c r="AC86" t="s">
        <v>359</v>
      </c>
      <c r="AD86" s="102">
        <f ca="1">MEDIAN(D83:D103)</f>
        <v>5</v>
      </c>
      <c r="AE86" s="103">
        <f ca="1">MEDIAN(E83:E103)</f>
        <v>4</v>
      </c>
    </row>
    <row r="87" spans="3:31" x14ac:dyDescent="0.3">
      <c r="C87" s="2" t="s">
        <v>289</v>
      </c>
      <c r="D87" s="37" cm="1">
        <f t="array" aca="1" ref="D87" ca="1">INDIRECT("'" &amp; C87 &amp; "'!$E$40")</f>
        <v>5</v>
      </c>
      <c r="E87" s="37" cm="1">
        <f t="array" aca="1" ref="E87" ca="1">INDIRECT("'" &amp; C87 &amp; "'!$F$40")</f>
        <v>5</v>
      </c>
      <c r="G87" t="s">
        <v>302</v>
      </c>
      <c r="H87">
        <f ca="1">_xlfn.STDEV.S(D83:D103)/SQRT(COUNT(D83:D103))</f>
        <v>0.37465025262420854</v>
      </c>
      <c r="J87" t="s">
        <v>333</v>
      </c>
      <c r="K87">
        <f ca="1">[1]!SWTEST(D83:D103)</f>
        <v>0.10017287084640414</v>
      </c>
      <c r="M87" t="s">
        <v>302</v>
      </c>
      <c r="N87">
        <f ca="1">_xlfn.STDEV.S(E83:E103)/SQRT(COUNT(E83:E103))</f>
        <v>0.35603001223845232</v>
      </c>
      <c r="P87" t="s">
        <v>333</v>
      </c>
      <c r="Q87">
        <f ca="1">[1]!SWTEST(E83:E103)</f>
        <v>0.34578701779707499</v>
      </c>
      <c r="S87" t="s">
        <v>379</v>
      </c>
      <c r="T87">
        <f ca="1">COUNT(D83:D103)</f>
        <v>21</v>
      </c>
      <c r="U87" s="65">
        <f ca="1">AVERAGE(D83:D103)</f>
        <v>4.3809523809523814</v>
      </c>
      <c r="V87">
        <f ca="1">_xlfn.STDEV.S(D83:D103)</f>
        <v>1.7168631417847633</v>
      </c>
    </row>
    <row r="88" spans="3:31" x14ac:dyDescent="0.3">
      <c r="C88" s="2" t="s">
        <v>290</v>
      </c>
      <c r="D88" s="37" cm="1">
        <f t="array" aca="1" ref="D88" ca="1">INDIRECT("'" &amp; C88 &amp; "'!$E$40")</f>
        <v>7</v>
      </c>
      <c r="E88" s="37" cm="1">
        <f t="array" aca="1" ref="E88" ca="1">INDIRECT("'" &amp; C88 &amp; "'!$F$40")</f>
        <v>5</v>
      </c>
      <c r="G88" t="s">
        <v>303</v>
      </c>
      <c r="H88" s="65">
        <f ca="1">MEDIAN(D83:D103)</f>
        <v>5</v>
      </c>
      <c r="J88" t="s">
        <v>334</v>
      </c>
      <c r="K88">
        <v>0.05</v>
      </c>
      <c r="M88" t="s">
        <v>303</v>
      </c>
      <c r="N88" s="65">
        <f ca="1">MEDIAN(E83:E103)</f>
        <v>4</v>
      </c>
      <c r="P88" t="s">
        <v>334</v>
      </c>
      <c r="Q88">
        <v>0.05</v>
      </c>
      <c r="S88" t="s">
        <v>380</v>
      </c>
      <c r="T88">
        <f ca="1">COUNT(E83:E103)</f>
        <v>21</v>
      </c>
      <c r="U88" s="65">
        <f ca="1">AVERAGE(E83:E103)</f>
        <v>3.4761904761904763</v>
      </c>
      <c r="V88">
        <f ca="1">_xlfn.STDEV.S(E83:E103)</f>
        <v>1.6315344807587617</v>
      </c>
      <c r="AC88" t="s">
        <v>360</v>
      </c>
      <c r="AD88" s="88">
        <f ca="1">SUMPRODUCT(--ISNUMBER(D83:D103),--ISNUMBER(E83:E103))</f>
        <v>21</v>
      </c>
    </row>
    <row r="89" spans="3:31" x14ac:dyDescent="0.3">
      <c r="C89" s="2" t="s">
        <v>291</v>
      </c>
      <c r="D89" s="37" cm="1">
        <f t="array" aca="1" ref="D89" ca="1">INDIRECT("'" &amp; C89 &amp; "'!$E$40")</f>
        <v>5</v>
      </c>
      <c r="E89" s="37" cm="1">
        <f t="array" aca="1" ref="E89" ca="1">INDIRECT("'" &amp; C89 &amp; "'!$F$40")</f>
        <v>5</v>
      </c>
      <c r="G89" t="s">
        <v>304</v>
      </c>
      <c r="H89">
        <f ca="1">MODE(D83:D103)</f>
        <v>5</v>
      </c>
      <c r="J89" s="63" t="s">
        <v>335</v>
      </c>
      <c r="K89" s="66" t="str">
        <f ca="1">IF(K87&lt;K88,"no","yes")</f>
        <v>yes</v>
      </c>
      <c r="M89" t="s">
        <v>304</v>
      </c>
      <c r="N89">
        <f ca="1">MODE(E83:E103)</f>
        <v>4</v>
      </c>
      <c r="P89" s="63" t="s">
        <v>335</v>
      </c>
      <c r="Q89" s="66" t="str">
        <f ca="1">IF(Q87&lt;Q88,"no","yes")</f>
        <v>yes</v>
      </c>
      <c r="S89" s="85" t="s">
        <v>349</v>
      </c>
      <c r="T89" s="85">
        <f ca="1">T88</f>
        <v>21</v>
      </c>
      <c r="U89" s="100">
        <f ca="1">U87-U88</f>
        <v>0.9047619047619051</v>
      </c>
      <c r="V89" s="85">
        <f t="array" aca="1" ref="V89" ca="1">_xlfn.STDEV.S(D83:D103-E83:E103)</f>
        <v>0.88908727944796884</v>
      </c>
      <c r="W89" s="85">
        <f ca="1">V89/SQRT(T89)</f>
        <v>0.19401475035679397</v>
      </c>
      <c r="X89" s="85">
        <f ca="1">(U87-U88-Z85)/W89</f>
        <v>4.6633665899012522</v>
      </c>
      <c r="Y89" s="85">
        <f ca="1">T89-1</f>
        <v>20</v>
      </c>
      <c r="Z89" s="85">
        <f ca="1">ABS(U87-U88-Z85)/V89</f>
        <v>1.0176300186452658</v>
      </c>
      <c r="AA89" s="85">
        <f ca="1">SQRT(X89^2/(X89^2+Y89))</f>
        <v>0.72175031757770702</v>
      </c>
      <c r="AC89" t="s">
        <v>361</v>
      </c>
      <c r="AD89" s="74">
        <f ca="1">SUMPRODUCT(--ISNUMBER(D83:D103),--ISNUMBER(E83:E103),--(D83:D103&lt;&gt;E83:E103))</f>
        <v>13</v>
      </c>
    </row>
    <row r="90" spans="3:31" x14ac:dyDescent="0.3">
      <c r="C90" s="2" t="s">
        <v>292</v>
      </c>
      <c r="D90" s="37" cm="1">
        <f t="array" aca="1" ref="D90" ca="1">INDIRECT("'" &amp; C90 &amp; "'!$E$40")</f>
        <v>1</v>
      </c>
      <c r="E90" s="37" cm="1">
        <f t="array" aca="1" ref="E90" ca="1">INDIRECT("'" &amp; C90 &amp; "'!$F$40")</f>
        <v>1</v>
      </c>
      <c r="G90" t="s">
        <v>305</v>
      </c>
      <c r="H90">
        <f ca="1">_xlfn.STDEV.S(D83:D103)</f>
        <v>1.7168631417847633</v>
      </c>
      <c r="M90" t="s">
        <v>305</v>
      </c>
      <c r="N90">
        <f ca="1">_xlfn.STDEV.S(E83:E103)</f>
        <v>1.6315344807587617</v>
      </c>
      <c r="AC90" t="s">
        <v>362</v>
      </c>
      <c r="AD90" s="74">
        <f ca="1">IF(AD92&lt;=AD95,AD92,AD89*(AD89+1)/2)</f>
        <v>0</v>
      </c>
    </row>
    <row r="91" spans="3:31" ht="15" thickBot="1" x14ac:dyDescent="0.35">
      <c r="C91" s="2" t="s">
        <v>293</v>
      </c>
      <c r="D91" s="37" cm="1">
        <f t="array" aca="1" ref="D91" ca="1">INDIRECT("'" &amp; C91 &amp; "'!$E$40")</f>
        <v>3</v>
      </c>
      <c r="E91" s="37" cm="1">
        <f t="array" aca="1" ref="E91" ca="1">INDIRECT("'" &amp; C91 &amp; "'!$F$40")</f>
        <v>2</v>
      </c>
      <c r="G91" t="s">
        <v>306</v>
      </c>
      <c r="H91">
        <f ca="1">_xlfn.VAR.S(D83:D103)</f>
        <v>2.9476190476190482</v>
      </c>
      <c r="J91" t="s">
        <v>336</v>
      </c>
      <c r="M91" t="s">
        <v>306</v>
      </c>
      <c r="N91">
        <f ca="1">_xlfn.VAR.S(E83:E103)</f>
        <v>2.6619047619047622</v>
      </c>
      <c r="P91" t="s">
        <v>336</v>
      </c>
      <c r="S91" t="s">
        <v>350</v>
      </c>
      <c r="AC91" t="s">
        <v>363</v>
      </c>
      <c r="AD91" s="74">
        <f ca="1">AD89*(AD89+1)/2-AD90</f>
        <v>91</v>
      </c>
    </row>
    <row r="92" spans="3:31" ht="15" thickTop="1" x14ac:dyDescent="0.3">
      <c r="C92" s="2" t="s">
        <v>294</v>
      </c>
      <c r="D92" s="37" cm="1">
        <f t="array" aca="1" ref="D92" ca="1">INDIRECT("'" &amp; C92 &amp; "'!$E$40")</f>
        <v>4</v>
      </c>
      <c r="E92" s="37" cm="1">
        <f t="array" aca="1" ref="E92" ca="1">INDIRECT("'" &amp; C92 &amp; "'!$F$40")</f>
        <v>2</v>
      </c>
      <c r="G92" t="s">
        <v>307</v>
      </c>
      <c r="H92">
        <f ca="1">KURT(D83:D103)</f>
        <v>-1.1278754746355091E-2</v>
      </c>
      <c r="M92" t="s">
        <v>307</v>
      </c>
      <c r="N92">
        <f ca="1">KURT(E83:E103)</f>
        <v>-0.28087770894365161</v>
      </c>
      <c r="S92" s="68" t="s">
        <v>351</v>
      </c>
      <c r="T92" s="68" t="s">
        <v>333</v>
      </c>
      <c r="U92" s="68" t="s">
        <v>352</v>
      </c>
      <c r="V92" s="68" t="s">
        <v>353</v>
      </c>
      <c r="W92" s="68" t="s">
        <v>354</v>
      </c>
      <c r="X92" s="68" t="s">
        <v>355</v>
      </c>
      <c r="AC92" t="s">
        <v>364</v>
      </c>
      <c r="AD92" s="75">
        <f ca="1">[1]!SRANK(D83:D103,E83:E103)</f>
        <v>0</v>
      </c>
    </row>
    <row r="93" spans="3:31" x14ac:dyDescent="0.3">
      <c r="C93" s="2" t="s">
        <v>295</v>
      </c>
      <c r="D93" s="37" cm="1">
        <f t="array" aca="1" ref="D93" ca="1">INDIRECT("'" &amp; C93 &amp; "'!$E$40")</f>
        <v>1</v>
      </c>
      <c r="E93" s="37" cm="1">
        <f t="array" aca="1" ref="E93" ca="1">INDIRECT("'" &amp; C93 &amp; "'!$F$40")</f>
        <v>1</v>
      </c>
      <c r="G93" t="s">
        <v>308</v>
      </c>
      <c r="H93">
        <f ca="1">SKEW(D83:D103)</f>
        <v>-0.39896934746624951</v>
      </c>
      <c r="J93" s="85" t="s">
        <v>337</v>
      </c>
      <c r="K93" s="85">
        <f ca="1">[1]!DAGOSTINO(D83:D103)</f>
        <v>0.74547806225417523</v>
      </c>
      <c r="M93" t="s">
        <v>308</v>
      </c>
      <c r="N93">
        <f ca="1">SKEW(E83:E103)</f>
        <v>0.1994976177914039</v>
      </c>
      <c r="P93" s="85" t="s">
        <v>337</v>
      </c>
      <c r="Q93" s="85">
        <f ca="1">[1]!DAGOSTINO(E83:E103)</f>
        <v>0.18904525969612293</v>
      </c>
      <c r="S93" t="s">
        <v>356</v>
      </c>
      <c r="T93">
        <f ca="1">_xlfn.T.DIST.RT(ABS(X89),Y89)</f>
        <v>7.4807253226453685E-5</v>
      </c>
      <c r="U93">
        <f ca="1">_xlfn.T.INV.2T(W85*2,Y89)</f>
        <v>1.7247182429207868</v>
      </c>
      <c r="X93" s="70" t="str">
        <f ca="1">IF(T93&lt;W85,"yes","no")</f>
        <v>yes</v>
      </c>
    </row>
    <row r="94" spans="3:31" x14ac:dyDescent="0.3">
      <c r="C94" s="2" t="s">
        <v>296</v>
      </c>
      <c r="D94" s="37" cm="1">
        <f t="array" aca="1" ref="D94" ca="1">INDIRECT("'" &amp; C94 &amp; "'!$E$40")</f>
        <v>5</v>
      </c>
      <c r="E94" s="37" cm="1">
        <f t="array" aca="1" ref="E94" ca="1">INDIRECT("'" &amp; C94 &amp; "'!$F$40")</f>
        <v>3</v>
      </c>
      <c r="G94" t="s">
        <v>309</v>
      </c>
      <c r="H94">
        <f ca="1">H95-H96</f>
        <v>6</v>
      </c>
      <c r="J94" t="s">
        <v>333</v>
      </c>
      <c r="K94">
        <f ca="1">[1]!DPTEST(D83:D103)</f>
        <v>0.68884497648631271</v>
      </c>
      <c r="M94" t="s">
        <v>309</v>
      </c>
      <c r="N94">
        <f ca="1">N95-N96</f>
        <v>6</v>
      </c>
      <c r="P94" t="s">
        <v>333</v>
      </c>
      <c r="Q94">
        <f ca="1">[1]!DPTEST(E83:E103)</f>
        <v>0.9098071455955975</v>
      </c>
      <c r="S94" t="s">
        <v>357</v>
      </c>
      <c r="T94">
        <f ca="1">_xlfn.T.DIST.2T(ABS(X89),Y89)</f>
        <v>1.4961450645290737E-4</v>
      </c>
      <c r="U94">
        <f ca="1">_xlfn.T.INV.2T(W85,Y89)</f>
        <v>2.0859634472658648</v>
      </c>
      <c r="V94">
        <f ca="1">(U87-U88)-W89*U94</f>
        <v>0.50005422728722104</v>
      </c>
      <c r="W94">
        <f ca="1">(U87-U88)+W89*U94</f>
        <v>1.3094695822365892</v>
      </c>
      <c r="X94" s="70" t="str">
        <f ca="1">IF(T94&lt;W85,"yes","no")</f>
        <v>yes</v>
      </c>
      <c r="AD94" s="70" t="s">
        <v>365</v>
      </c>
      <c r="AE94" s="70" t="s">
        <v>366</v>
      </c>
    </row>
    <row r="95" spans="3:31" x14ac:dyDescent="0.3">
      <c r="C95" s="2" t="s">
        <v>297</v>
      </c>
      <c r="D95" s="37" cm="1">
        <f t="array" aca="1" ref="D95" ca="1">INDIRECT("'" &amp; C95 &amp; "'!$E$40")</f>
        <v>5</v>
      </c>
      <c r="E95" s="37" cm="1">
        <f t="array" aca="1" ref="E95" ca="1">INDIRECT("'" &amp; C95 &amp; "'!$F$40")</f>
        <v>4</v>
      </c>
      <c r="G95" t="s">
        <v>310</v>
      </c>
      <c r="H95" s="65">
        <f ca="1">MAX(D83:D103)</f>
        <v>7</v>
      </c>
      <c r="J95" t="s">
        <v>334</v>
      </c>
      <c r="K95">
        <v>0.05</v>
      </c>
      <c r="M95" t="s">
        <v>310</v>
      </c>
      <c r="N95" s="65">
        <f ca="1">MAX(E83:E103)</f>
        <v>7</v>
      </c>
      <c r="P95" t="s">
        <v>334</v>
      </c>
      <c r="Q95">
        <v>0.05</v>
      </c>
      <c r="S95" s="85"/>
      <c r="T95" s="85"/>
      <c r="U95" s="85"/>
      <c r="V95" s="85"/>
      <c r="W95" s="85"/>
      <c r="X95" s="85"/>
      <c r="AC95" t="s">
        <v>367</v>
      </c>
      <c r="AD95" s="88">
        <f ca="1">AD89*(AD89+1)/4</f>
        <v>45.5</v>
      </c>
    </row>
    <row r="96" spans="3:31" x14ac:dyDescent="0.3">
      <c r="C96" s="2" t="s">
        <v>298</v>
      </c>
      <c r="D96" s="37" cm="1">
        <f t="array" aca="1" ref="D96" ca="1">INDIRECT("'" &amp; C96 &amp; "'!$E$40")</f>
        <v>7</v>
      </c>
      <c r="E96" s="37" cm="1">
        <f t="array" aca="1" ref="E96" ca="1">INDIRECT("'" &amp; C96 &amp; "'!$F$40")</f>
        <v>7</v>
      </c>
      <c r="G96" t="s">
        <v>311</v>
      </c>
      <c r="H96" s="65">
        <f ca="1">MIN(D83:D103)</f>
        <v>1</v>
      </c>
      <c r="J96" s="63" t="s">
        <v>335</v>
      </c>
      <c r="K96" s="66" t="str">
        <f ca="1">IF(K94&lt;K95,"no","yes")</f>
        <v>yes</v>
      </c>
      <c r="M96" t="s">
        <v>311</v>
      </c>
      <c r="N96" s="65">
        <f ca="1">MIN(E83:E103)</f>
        <v>1</v>
      </c>
      <c r="P96" s="63" t="s">
        <v>335</v>
      </c>
      <c r="Q96" s="66" t="str">
        <f ca="1">IF(Q94&lt;Q95,"no","yes")</f>
        <v>yes</v>
      </c>
      <c r="AC96" t="s">
        <v>368</v>
      </c>
      <c r="AD96" s="74">
        <f ca="1">SQRT(AD95*(2*AD89+1)/6-[1]!TiesCorrection(D83:D103,E83:E103,1)/48)</f>
        <v>13.892443989449804</v>
      </c>
      <c r="AE96" t="s">
        <v>369</v>
      </c>
    </row>
    <row r="97" spans="3:31" x14ac:dyDescent="0.3">
      <c r="C97" s="2" t="s">
        <v>299</v>
      </c>
      <c r="D97" s="37" cm="1">
        <f t="array" aca="1" ref="D97" ca="1">INDIRECT("'" &amp; C97 &amp; "'!$E$40")</f>
        <v>3</v>
      </c>
      <c r="E97" s="37" cm="1">
        <f t="array" aca="1" ref="E97" ca="1">INDIRECT("'" &amp; C97 &amp; "'!$F$40")</f>
        <v>3</v>
      </c>
      <c r="G97" t="s">
        <v>312</v>
      </c>
      <c r="H97" s="65">
        <f ca="1">SUM(D83:D103)</f>
        <v>92</v>
      </c>
      <c r="M97" t="s">
        <v>312</v>
      </c>
      <c r="N97" s="65">
        <f ca="1">SUM(E83:E103)</f>
        <v>73</v>
      </c>
      <c r="AC97" t="s">
        <v>370</v>
      </c>
      <c r="AD97" s="74">
        <f ca="1">ABS(ABS(AD92-AD95)-1/2)/AD96</f>
        <v>3.2391708783691255</v>
      </c>
      <c r="AE97" t="s">
        <v>371</v>
      </c>
    </row>
    <row r="98" spans="3:31" x14ac:dyDescent="0.3">
      <c r="C98" s="2" t="s">
        <v>395</v>
      </c>
      <c r="D98" s="37" cm="1">
        <f t="array" aca="1" ref="D98" ca="1">INDIRECT("'" &amp; C98 &amp; "'!$E$40")</f>
        <v>5</v>
      </c>
      <c r="E98" s="37" cm="1">
        <f t="array" aca="1" ref="E98" ca="1">INDIRECT("'" &amp; C98 &amp; "'!$F$40")</f>
        <v>4</v>
      </c>
      <c r="G98" t="s">
        <v>313</v>
      </c>
      <c r="H98">
        <f ca="1">COUNT(D83:D103)</f>
        <v>21</v>
      </c>
      <c r="M98" t="s">
        <v>313</v>
      </c>
      <c r="N98">
        <f ca="1">COUNT(E83:E103)</f>
        <v>21</v>
      </c>
      <c r="AC98" t="s">
        <v>372</v>
      </c>
      <c r="AD98" s="74">
        <f ca="1">AD97/SQRT(AD89)</f>
        <v>0.89838436091920093</v>
      </c>
    </row>
    <row r="99" spans="3:31" x14ac:dyDescent="0.3">
      <c r="C99" s="2" t="s">
        <v>396</v>
      </c>
      <c r="D99" s="37" cm="1">
        <f t="array" aca="1" ref="D99" ca="1">INDIRECT("'" &amp; C99 &amp; "'!$E$40")</f>
        <v>4</v>
      </c>
      <c r="E99" s="37" cm="1">
        <f t="array" aca="1" ref="E99" ca="1">INDIRECT("'" &amp; C99 &amp; "'!$F$40")</f>
        <v>3</v>
      </c>
      <c r="G99" t="s">
        <v>314</v>
      </c>
      <c r="H99">
        <f ca="1">GEOMEAN(D83:D103)</f>
        <v>3.9255057017272184</v>
      </c>
      <c r="M99" t="s">
        <v>314</v>
      </c>
      <c r="N99">
        <f ca="1">GEOMEAN(E83:E103)</f>
        <v>3.0412498988031009</v>
      </c>
      <c r="AC99" t="s">
        <v>373</v>
      </c>
      <c r="AD99" s="88">
        <f ca="1">1-_xlfn.NORM.S.DIST(AD97,TRUE)</f>
        <v>5.993886485918809E-4</v>
      </c>
      <c r="AE99" s="104">
        <f ca="1">2*AD99</f>
        <v>1.1987772971837618E-3</v>
      </c>
    </row>
    <row r="100" spans="3:31" x14ac:dyDescent="0.3">
      <c r="C100" s="2" t="s">
        <v>397</v>
      </c>
      <c r="D100" s="37" cm="1">
        <f t="array" aca="1" ref="D100" ca="1">INDIRECT("'" &amp; C100 &amp; "'!$E$40")</f>
        <v>5</v>
      </c>
      <c r="E100" s="37" cm="1">
        <f t="array" aca="1" ref="E100" ca="1">INDIRECT("'" &amp; C100 &amp; "'!$F$40")</f>
        <v>4</v>
      </c>
      <c r="G100" t="s">
        <v>315</v>
      </c>
      <c r="H100">
        <f ca="1">HARMEAN(D83:D103)</f>
        <v>3.275157816561455</v>
      </c>
      <c r="M100" t="s">
        <v>315</v>
      </c>
      <c r="N100">
        <f ca="1">HARMEAN(E83:E103)</f>
        <v>2.5476603119584058</v>
      </c>
      <c r="AC100" t="s">
        <v>374</v>
      </c>
      <c r="AD100" s="74">
        <f ca="1">[1]!SRDIST(AD92,AD89,1)</f>
        <v>1.220703125E-4</v>
      </c>
      <c r="AE100" s="77">
        <f ca="1">2*AD100</f>
        <v>2.44140625E-4</v>
      </c>
    </row>
    <row r="101" spans="3:31" x14ac:dyDescent="0.3">
      <c r="C101" s="2" t="s">
        <v>398</v>
      </c>
      <c r="D101" s="37" cm="1">
        <f t="array" aca="1" ref="D101" ca="1">INDIRECT("'" &amp; C101 &amp; "'!$E$40")</f>
        <v>4</v>
      </c>
      <c r="E101" s="37" cm="1">
        <f t="array" aca="1" ref="E101" ca="1">INDIRECT("'" &amp; C101 &amp; "'!$F$40")</f>
        <v>4</v>
      </c>
      <c r="G101" t="s">
        <v>316</v>
      </c>
      <c r="H101">
        <f ca="1">AVEDEV(D83:D103)</f>
        <v>1.3151927437641724</v>
      </c>
      <c r="M101" t="s">
        <v>316</v>
      </c>
      <c r="N101">
        <f ca="1">AVEDEV(E83:E103)</f>
        <v>1.3106575963718825</v>
      </c>
      <c r="AC101" t="s">
        <v>375</v>
      </c>
      <c r="AD101" s="75" t="s">
        <v>376</v>
      </c>
      <c r="AE101" s="78" t="s">
        <v>376</v>
      </c>
    </row>
    <row r="102" spans="3:31" x14ac:dyDescent="0.3">
      <c r="C102" s="2" t="s">
        <v>399</v>
      </c>
      <c r="D102" s="37" cm="1">
        <f t="array" aca="1" ref="D102" ca="1">INDIRECT("'" &amp; C102 &amp; "'!$E$40")</f>
        <v>4</v>
      </c>
      <c r="E102" s="37" cm="1">
        <f t="array" aca="1" ref="E102" ca="1">INDIRECT("'" &amp; C102 &amp; "'!$F$40")</f>
        <v>4</v>
      </c>
      <c r="G102" t="s">
        <v>317</v>
      </c>
      <c r="H102">
        <f ca="1">[1]!MAD(D83:D103)</f>
        <v>1</v>
      </c>
      <c r="M102" t="s">
        <v>317</v>
      </c>
      <c r="N102">
        <f ca="1">[1]!MAD(E83:E103)</f>
        <v>1</v>
      </c>
    </row>
    <row r="103" spans="3:31" x14ac:dyDescent="0.3">
      <c r="C103" s="2" t="s">
        <v>400</v>
      </c>
      <c r="D103" s="37" cm="1">
        <f t="array" aca="1" ref="D103" ca="1">INDIRECT("'" &amp; C103 &amp; "'!$E$40")</f>
        <v>7</v>
      </c>
      <c r="E103" s="37" cm="1">
        <f t="array" aca="1" ref="E103" ca="1">INDIRECT("'" &amp; C103 &amp; "'!$F$40")</f>
        <v>6</v>
      </c>
      <c r="G103" s="63" t="s">
        <v>318</v>
      </c>
      <c r="H103" s="63">
        <f ca="1">[1]!IQR(D83:D103,FALSE)</f>
        <v>1</v>
      </c>
      <c r="M103" s="63" t="s">
        <v>318</v>
      </c>
      <c r="N103" s="63">
        <f ca="1">[1]!IQR(E83:E103,FALSE)</f>
        <v>2</v>
      </c>
    </row>
    <row r="107" spans="3:31" x14ac:dyDescent="0.3">
      <c r="C107" s="2"/>
      <c r="D107" s="59" t="s">
        <v>73</v>
      </c>
      <c r="E107" s="2"/>
    </row>
    <row r="108" spans="3:31" x14ac:dyDescent="0.3">
      <c r="C108" s="2"/>
      <c r="D108" s="2"/>
      <c r="E108" s="2"/>
    </row>
    <row r="109" spans="3:31" x14ac:dyDescent="0.3">
      <c r="C109" s="2" t="s">
        <v>285</v>
      </c>
      <c r="D109" s="37" cm="1">
        <f t="array" aca="1" ref="D109" ca="1">INDIRECT("'" &amp; C109 &amp; "'!$E$41")</f>
        <v>7</v>
      </c>
      <c r="E109" s="37" cm="1">
        <f t="array" aca="1" ref="E109" ca="1">INDIRECT("'" &amp; C109 &amp; "'!$F$41")</f>
        <v>7</v>
      </c>
      <c r="G109" t="s">
        <v>300</v>
      </c>
      <c r="J109" t="s">
        <v>331</v>
      </c>
      <c r="M109" t="s">
        <v>300</v>
      </c>
      <c r="P109" t="s">
        <v>331</v>
      </c>
      <c r="S109" t="s">
        <v>338</v>
      </c>
      <c r="AC109" t="s">
        <v>358</v>
      </c>
    </row>
    <row r="110" spans="3:31" x14ac:dyDescent="0.3">
      <c r="C110" s="2" t="s">
        <v>286</v>
      </c>
      <c r="D110" s="37" cm="1">
        <f t="array" aca="1" ref="D110" ca="1">INDIRECT("'" &amp; C110 &amp; "'!$E$41")</f>
        <v>5</v>
      </c>
      <c r="E110" s="37" cm="1">
        <f t="array" aca="1" ref="E110" ca="1">INDIRECT("'" &amp; C110 &amp; "'!$F$41")</f>
        <v>6</v>
      </c>
    </row>
    <row r="111" spans="3:31" ht="15" thickBot="1" x14ac:dyDescent="0.35">
      <c r="C111" s="2" t="s">
        <v>287</v>
      </c>
      <c r="D111" s="37" cm="1">
        <f t="array" aca="1" ref="D111" ca="1">INDIRECT("'" &amp; C111 &amp; "'!$E$41")</f>
        <v>6</v>
      </c>
      <c r="E111" s="37" cm="1">
        <f t="array" aca="1" ref="E111" ca="1">INDIRECT("'" &amp; C111 &amp; "'!$F$41")</f>
        <v>7</v>
      </c>
      <c r="G111" s="64"/>
      <c r="H111" s="64" t="s">
        <v>379</v>
      </c>
      <c r="J111" s="64"/>
      <c r="K111" s="64" t="s">
        <v>379</v>
      </c>
      <c r="M111" s="64"/>
      <c r="N111" s="64" t="s">
        <v>379</v>
      </c>
      <c r="P111" s="64"/>
      <c r="Q111" s="64" t="s">
        <v>379</v>
      </c>
      <c r="S111" t="s">
        <v>339</v>
      </c>
      <c r="V111" t="s">
        <v>340</v>
      </c>
      <c r="W111">
        <v>0.05</v>
      </c>
      <c r="Y111" t="s">
        <v>341</v>
      </c>
      <c r="Z111">
        <v>0</v>
      </c>
      <c r="AD111" t="s">
        <v>381</v>
      </c>
      <c r="AE111" t="s">
        <v>382</v>
      </c>
    </row>
    <row r="112" spans="3:31" ht="15" thickTop="1" x14ac:dyDescent="0.3">
      <c r="C112" s="2" t="s">
        <v>288</v>
      </c>
      <c r="D112" s="37" cm="1">
        <f t="array" aca="1" ref="D112" ca="1">INDIRECT("'" &amp; C112 &amp; "'!$E$41")</f>
        <v>6</v>
      </c>
      <c r="E112" s="37" cm="1">
        <f t="array" aca="1" ref="E112" ca="1">INDIRECT("'" &amp; C112 &amp; "'!$F$41")</f>
        <v>7</v>
      </c>
      <c r="G112" t="s">
        <v>301</v>
      </c>
      <c r="H112" s="65">
        <f ca="1">AVERAGE(D109:D129)</f>
        <v>6.0952380952380949</v>
      </c>
      <c r="J112" t="s">
        <v>332</v>
      </c>
      <c r="K112">
        <f ca="1">[1]!SHAPIRO(D109:D129)</f>
        <v>0.8324657464322931</v>
      </c>
      <c r="M112" t="s">
        <v>301</v>
      </c>
      <c r="N112" s="65">
        <f ca="1">AVERAGE(E109:E129)</f>
        <v>6.4761904761904763</v>
      </c>
      <c r="P112" t="s">
        <v>332</v>
      </c>
      <c r="Q112">
        <f ca="1">[1]!SHAPIRO(E109:E129)</f>
        <v>0.72900790817623418</v>
      </c>
      <c r="S112" s="68" t="s">
        <v>342</v>
      </c>
      <c r="T112" s="68" t="s">
        <v>313</v>
      </c>
      <c r="U112" s="68" t="s">
        <v>301</v>
      </c>
      <c r="V112" s="68" t="s">
        <v>343</v>
      </c>
      <c r="W112" s="68" t="s">
        <v>344</v>
      </c>
      <c r="X112" s="68" t="s">
        <v>345</v>
      </c>
      <c r="Y112" s="68" t="s">
        <v>346</v>
      </c>
      <c r="Z112" s="68" t="s">
        <v>347</v>
      </c>
      <c r="AA112" s="68" t="s">
        <v>348</v>
      </c>
      <c r="AC112" t="s">
        <v>359</v>
      </c>
      <c r="AD112" s="102">
        <f ca="1">MEDIAN(D109:D129)</f>
        <v>6</v>
      </c>
      <c r="AE112" s="103">
        <f ca="1">MEDIAN(E109:E129)</f>
        <v>7</v>
      </c>
    </row>
    <row r="113" spans="3:31" x14ac:dyDescent="0.3">
      <c r="C113" s="2" t="s">
        <v>289</v>
      </c>
      <c r="D113" s="37" cm="1">
        <f t="array" aca="1" ref="D113" ca="1">INDIRECT("'" &amp; C113 &amp; "'!$E$41")</f>
        <v>6</v>
      </c>
      <c r="E113" s="37" cm="1">
        <f t="array" aca="1" ref="E113" ca="1">INDIRECT("'" &amp; C113 &amp; "'!$F$41")</f>
        <v>6</v>
      </c>
      <c r="G113" t="s">
        <v>302</v>
      </c>
      <c r="H113">
        <f ca="1">_xlfn.STDEV.S(D109:D129)/SQRT(COUNT(D109:D129))</f>
        <v>0.18132793109199813</v>
      </c>
      <c r="J113" t="s">
        <v>333</v>
      </c>
      <c r="K113">
        <f ca="1">[1]!SWTEST(D109:D129)</f>
        <v>2.1503548339796286E-3</v>
      </c>
      <c r="M113" t="s">
        <v>302</v>
      </c>
      <c r="N113">
        <f ca="1">_xlfn.STDEV.S(E109:E129)/SQRT(COUNT(E109:E129))</f>
        <v>0.13127665478181164</v>
      </c>
      <c r="P113" t="s">
        <v>333</v>
      </c>
      <c r="Q113">
        <f ca="1">[1]!SWTEST(E109:E129)</f>
        <v>6.4740924629047569E-5</v>
      </c>
      <c r="S113" t="s">
        <v>379</v>
      </c>
      <c r="T113">
        <f ca="1">COUNT(D109:D129)</f>
        <v>21</v>
      </c>
      <c r="U113" s="65">
        <f ca="1">AVERAGE(D109:D129)</f>
        <v>6.0952380952380949</v>
      </c>
      <c r="V113">
        <f ca="1">_xlfn.STDEV.S(D109:D129)</f>
        <v>0.83094896983881794</v>
      </c>
    </row>
    <row r="114" spans="3:31" x14ac:dyDescent="0.3">
      <c r="C114" s="2" t="s">
        <v>290</v>
      </c>
      <c r="D114" s="37" cm="1">
        <f t="array" aca="1" ref="D114" ca="1">INDIRECT("'" &amp; C114 &amp; "'!$E$41")</f>
        <v>7</v>
      </c>
      <c r="E114" s="37" cm="1">
        <f t="array" aca="1" ref="E114" ca="1">INDIRECT("'" &amp; C114 &amp; "'!$F$41")</f>
        <v>7</v>
      </c>
      <c r="G114" t="s">
        <v>303</v>
      </c>
      <c r="H114" s="65">
        <f ca="1">MEDIAN(D109:D129)</f>
        <v>6</v>
      </c>
      <c r="J114" t="s">
        <v>334</v>
      </c>
      <c r="K114">
        <v>0.05</v>
      </c>
      <c r="M114" t="s">
        <v>303</v>
      </c>
      <c r="N114" s="65">
        <f ca="1">MEDIAN(E109:E129)</f>
        <v>7</v>
      </c>
      <c r="P114" t="s">
        <v>334</v>
      </c>
      <c r="Q114">
        <v>0.05</v>
      </c>
      <c r="S114" t="s">
        <v>380</v>
      </c>
      <c r="T114">
        <f ca="1">COUNT(E109:E129)</f>
        <v>21</v>
      </c>
      <c r="U114" s="65">
        <f ca="1">AVERAGE(E109:E129)</f>
        <v>6.4761904761904763</v>
      </c>
      <c r="V114">
        <f ca="1">_xlfn.STDEV.S(E109:E129)</f>
        <v>0.6015852075182383</v>
      </c>
      <c r="AC114" t="s">
        <v>360</v>
      </c>
      <c r="AD114" s="88">
        <f ca="1">SUMPRODUCT(--ISNUMBER(D109:D129),--ISNUMBER(E109:E129))</f>
        <v>21</v>
      </c>
    </row>
    <row r="115" spans="3:31" x14ac:dyDescent="0.3">
      <c r="C115" s="2" t="s">
        <v>291</v>
      </c>
      <c r="D115" s="37" cm="1">
        <f t="array" aca="1" ref="D115" ca="1">INDIRECT("'" &amp; C115 &amp; "'!$E$41")</f>
        <v>7</v>
      </c>
      <c r="E115" s="37" cm="1">
        <f t="array" aca="1" ref="E115" ca="1">INDIRECT("'" &amp; C115 &amp; "'!$F$41")</f>
        <v>7</v>
      </c>
      <c r="G115" t="s">
        <v>304</v>
      </c>
      <c r="H115">
        <f ca="1">MODE(D109:D129)</f>
        <v>6</v>
      </c>
      <c r="J115" s="63" t="s">
        <v>335</v>
      </c>
      <c r="K115" s="66" t="str">
        <f ca="1">IF(K113&lt;K114,"no","yes")</f>
        <v>no</v>
      </c>
      <c r="M115" t="s">
        <v>304</v>
      </c>
      <c r="N115">
        <f ca="1">MODE(E109:E129)</f>
        <v>7</v>
      </c>
      <c r="P115" s="63" t="s">
        <v>335</v>
      </c>
      <c r="Q115" s="66" t="str">
        <f ca="1">IF(Q113&lt;Q114,"no","yes")</f>
        <v>no</v>
      </c>
      <c r="S115" s="85" t="s">
        <v>349</v>
      </c>
      <c r="T115" s="85">
        <f ca="1">T114</f>
        <v>21</v>
      </c>
      <c r="U115" s="100">
        <f ca="1">U113-U114</f>
        <v>-0.38095238095238138</v>
      </c>
      <c r="V115" s="85">
        <f t="array" aca="1" ref="V115" ca="1">_xlfn.STDEV.S(D109:D129-E109:E129)</f>
        <v>0.74001286990095494</v>
      </c>
      <c r="W115" s="85">
        <f ca="1">V115/SQRT(T115)</f>
        <v>0.16148404721726831</v>
      </c>
      <c r="X115" s="85">
        <f ca="1">(U113-U114-Z111)/W115</f>
        <v>-2.3590712984783564</v>
      </c>
      <c r="Y115" s="85">
        <f ca="1">T115-1</f>
        <v>20</v>
      </c>
      <c r="Z115" s="85">
        <f ca="1">ABS(U113-U114-Z111)/V115</f>
        <v>0.5147915616702301</v>
      </c>
      <c r="AA115" s="85">
        <f ca="1">SQRT(X115^2/(X115^2+Y115))</f>
        <v>0.46656947481584382</v>
      </c>
      <c r="AC115" t="s">
        <v>361</v>
      </c>
      <c r="AD115" s="74">
        <f ca="1">SUMPRODUCT(--ISNUMBER(D109:D129),--ISNUMBER(E109:E129),--(D109:D129&lt;&gt;E109:E129))</f>
        <v>8</v>
      </c>
    </row>
    <row r="116" spans="3:31" x14ac:dyDescent="0.3">
      <c r="C116" s="2" t="s">
        <v>292</v>
      </c>
      <c r="D116" s="37" cm="1">
        <f t="array" aca="1" ref="D116" ca="1">INDIRECT("'" &amp; C116 &amp; "'!$E$41")</f>
        <v>7</v>
      </c>
      <c r="E116" s="37" cm="1">
        <f t="array" aca="1" ref="E116" ca="1">INDIRECT("'" &amp; C116 &amp; "'!$F$41")</f>
        <v>7</v>
      </c>
      <c r="G116" t="s">
        <v>305</v>
      </c>
      <c r="H116">
        <f ca="1">_xlfn.STDEV.S(D109:D129)</f>
        <v>0.83094896983881794</v>
      </c>
      <c r="M116" t="s">
        <v>305</v>
      </c>
      <c r="N116">
        <f ca="1">_xlfn.STDEV.S(E109:E129)</f>
        <v>0.6015852075182383</v>
      </c>
      <c r="AC116" t="s">
        <v>362</v>
      </c>
      <c r="AD116" s="74">
        <f ca="1">IF(AD118&lt;=AD121,AD118,AD115*(AD115+1)/2)</f>
        <v>3.5</v>
      </c>
    </row>
    <row r="117" spans="3:31" ht="15" thickBot="1" x14ac:dyDescent="0.35">
      <c r="C117" s="2" t="s">
        <v>293</v>
      </c>
      <c r="D117" s="37" cm="1">
        <f t="array" aca="1" ref="D117" ca="1">INDIRECT("'" &amp; C117 &amp; "'!$E$41")</f>
        <v>7</v>
      </c>
      <c r="E117" s="37" cm="1">
        <f t="array" aca="1" ref="E117" ca="1">INDIRECT("'" &amp; C117 &amp; "'!$F$41")</f>
        <v>7</v>
      </c>
      <c r="G117" t="s">
        <v>306</v>
      </c>
      <c r="H117">
        <f ca="1">_xlfn.VAR.S(D109:D129)</f>
        <v>0.69047619047619269</v>
      </c>
      <c r="J117" t="s">
        <v>336</v>
      </c>
      <c r="M117" t="s">
        <v>306</v>
      </c>
      <c r="N117">
        <f ca="1">_xlfn.VAR.S(E109:E129)</f>
        <v>0.36190476190476184</v>
      </c>
      <c r="P117" t="s">
        <v>336</v>
      </c>
      <c r="S117" t="s">
        <v>350</v>
      </c>
      <c r="AC117" t="s">
        <v>363</v>
      </c>
      <c r="AD117" s="74">
        <f ca="1">AD115*(AD115+1)/2-AD116</f>
        <v>32.5</v>
      </c>
    </row>
    <row r="118" spans="3:31" ht="15" thickTop="1" x14ac:dyDescent="0.3">
      <c r="C118" s="2" t="s">
        <v>294</v>
      </c>
      <c r="D118" s="37" cm="1">
        <f t="array" aca="1" ref="D118" ca="1">INDIRECT("'" &amp; C118 &amp; "'!$E$41")</f>
        <v>5</v>
      </c>
      <c r="E118" s="37" cm="1">
        <f t="array" aca="1" ref="E118" ca="1">INDIRECT("'" &amp; C118 &amp; "'!$F$41")</f>
        <v>7</v>
      </c>
      <c r="G118" t="s">
        <v>307</v>
      </c>
      <c r="H118">
        <f ca="1">KURT(D109:D129)</f>
        <v>0.49782839977470728</v>
      </c>
      <c r="M118" t="s">
        <v>307</v>
      </c>
      <c r="N118">
        <f ca="1">KURT(E109:E129)</f>
        <v>-0.39419011517713676</v>
      </c>
      <c r="S118" s="68" t="s">
        <v>351</v>
      </c>
      <c r="T118" s="68" t="s">
        <v>333</v>
      </c>
      <c r="U118" s="68" t="s">
        <v>352</v>
      </c>
      <c r="V118" s="68" t="s">
        <v>353</v>
      </c>
      <c r="W118" s="68" t="s">
        <v>354</v>
      </c>
      <c r="X118" s="68" t="s">
        <v>355</v>
      </c>
      <c r="AC118" t="s">
        <v>364</v>
      </c>
      <c r="AD118" s="75">
        <f ca="1">[1]!SRANK(D109:D129,E109:E129)</f>
        <v>3.5</v>
      </c>
    </row>
    <row r="119" spans="3:31" x14ac:dyDescent="0.3">
      <c r="C119" s="2" t="s">
        <v>295</v>
      </c>
      <c r="D119" s="37" cm="1">
        <f t="array" aca="1" ref="D119" ca="1">INDIRECT("'" &amp; C119 &amp; "'!$E$41")</f>
        <v>7</v>
      </c>
      <c r="E119" s="37" cm="1">
        <f t="array" aca="1" ref="E119" ca="1">INDIRECT("'" &amp; C119 &amp; "'!$F$41")</f>
        <v>7</v>
      </c>
      <c r="G119" t="s">
        <v>308</v>
      </c>
      <c r="H119">
        <f ca="1">SKEW(D109:D129)</f>
        <v>-0.76705861973280343</v>
      </c>
      <c r="J119" s="85" t="s">
        <v>337</v>
      </c>
      <c r="K119" s="85">
        <f ca="1">[1]!DAGOSTINO(D109:D129)</f>
        <v>2.938201101381078</v>
      </c>
      <c r="M119" t="s">
        <v>308</v>
      </c>
      <c r="N119">
        <f ca="1">SKEW(E109:E129)</f>
        <v>-0.66191695042851872</v>
      </c>
      <c r="P119" s="85" t="s">
        <v>337</v>
      </c>
      <c r="Q119" s="85">
        <f ca="1">[1]!DAGOSTINO(E109:E129)</f>
        <v>1.900029720589919</v>
      </c>
      <c r="S119" t="s">
        <v>356</v>
      </c>
      <c r="T119">
        <f ca="1">_xlfn.T.DIST.RT(ABS(X115),Y115)</f>
        <v>1.4301619027285243E-2</v>
      </c>
      <c r="U119">
        <f ca="1">_xlfn.T.INV.2T(W111*2,Y115)</f>
        <v>1.7247182429207868</v>
      </c>
      <c r="X119" s="70" t="str">
        <f ca="1">IF(T119&lt;W111,"yes","no")</f>
        <v>yes</v>
      </c>
    </row>
    <row r="120" spans="3:31" x14ac:dyDescent="0.3">
      <c r="C120" s="2" t="s">
        <v>296</v>
      </c>
      <c r="D120" s="37" cm="1">
        <f t="array" aca="1" ref="D120" ca="1">INDIRECT("'" &amp; C120 &amp; "'!$E$41")</f>
        <v>6</v>
      </c>
      <c r="E120" s="37" cm="1">
        <f t="array" aca="1" ref="E120" ca="1">INDIRECT("'" &amp; C120 &amp; "'!$F$41")</f>
        <v>6</v>
      </c>
      <c r="G120" t="s">
        <v>309</v>
      </c>
      <c r="H120">
        <f ca="1">H121-H122</f>
        <v>3</v>
      </c>
      <c r="J120" t="s">
        <v>333</v>
      </c>
      <c r="K120">
        <f ca="1">[1]!DPTEST(D109:D129)</f>
        <v>0.23013238453939389</v>
      </c>
      <c r="M120" t="s">
        <v>309</v>
      </c>
      <c r="N120">
        <f ca="1">N121-N122</f>
        <v>2</v>
      </c>
      <c r="P120" t="s">
        <v>333</v>
      </c>
      <c r="Q120">
        <f ca="1">[1]!DPTEST(E109:E129)</f>
        <v>0.38673527641152128</v>
      </c>
      <c r="S120" t="s">
        <v>357</v>
      </c>
      <c r="T120">
        <f ca="1">_xlfn.T.DIST.2T(ABS(X115),Y115)</f>
        <v>2.8603238054570487E-2</v>
      </c>
      <c r="U120">
        <f ca="1">_xlfn.T.INV.2T(W111,Y115)</f>
        <v>2.0859634472658648</v>
      </c>
      <c r="V120">
        <f ca="1">(U113-U114)-W115*U120</f>
        <v>-0.71780220076415802</v>
      </c>
      <c r="W120">
        <f ca="1">(U113-U114)+W115*U120</f>
        <v>-4.4102561140604679E-2</v>
      </c>
      <c r="X120" s="70" t="str">
        <f ca="1">IF(T120&lt;W111,"yes","no")</f>
        <v>yes</v>
      </c>
      <c r="AD120" s="70" t="s">
        <v>365</v>
      </c>
      <c r="AE120" s="70" t="s">
        <v>366</v>
      </c>
    </row>
    <row r="121" spans="3:31" x14ac:dyDescent="0.3">
      <c r="C121" s="2" t="s">
        <v>297</v>
      </c>
      <c r="D121" s="37" cm="1">
        <f t="array" aca="1" ref="D121" ca="1">INDIRECT("'" &amp; C121 &amp; "'!$E$41")</f>
        <v>6</v>
      </c>
      <c r="E121" s="37" cm="1">
        <f t="array" aca="1" ref="E121" ca="1">INDIRECT("'" &amp; C121 &amp; "'!$F$41")</f>
        <v>6</v>
      </c>
      <c r="G121" t="s">
        <v>310</v>
      </c>
      <c r="H121" s="65">
        <f ca="1">MAX(D109:D129)</f>
        <v>7</v>
      </c>
      <c r="J121" t="s">
        <v>334</v>
      </c>
      <c r="K121">
        <v>0.05</v>
      </c>
      <c r="M121" t="s">
        <v>310</v>
      </c>
      <c r="N121" s="65">
        <f ca="1">MAX(E109:E129)</f>
        <v>7</v>
      </c>
      <c r="P121" t="s">
        <v>334</v>
      </c>
      <c r="Q121">
        <v>0.05</v>
      </c>
      <c r="S121" s="85"/>
      <c r="T121" s="85"/>
      <c r="U121" s="85"/>
      <c r="V121" s="85"/>
      <c r="W121" s="85"/>
      <c r="X121" s="85"/>
      <c r="AC121" t="s">
        <v>367</v>
      </c>
      <c r="AD121" s="88">
        <f ca="1">AD115*(AD115+1)/4</f>
        <v>18</v>
      </c>
    </row>
    <row r="122" spans="3:31" x14ac:dyDescent="0.3">
      <c r="C122" s="2" t="s">
        <v>298</v>
      </c>
      <c r="D122" s="37" cm="1">
        <f t="array" aca="1" ref="D122" ca="1">INDIRECT("'" &amp; C122 &amp; "'!$E$41")</f>
        <v>6</v>
      </c>
      <c r="E122" s="37" cm="1">
        <f t="array" aca="1" ref="E122" ca="1">INDIRECT("'" &amp; C122 &amp; "'!$F$41")</f>
        <v>7</v>
      </c>
      <c r="G122" t="s">
        <v>311</v>
      </c>
      <c r="H122" s="65">
        <f ca="1">MIN(D109:D129)</f>
        <v>4</v>
      </c>
      <c r="J122" s="63" t="s">
        <v>335</v>
      </c>
      <c r="K122" s="66" t="str">
        <f ca="1">IF(K120&lt;K121,"no","yes")</f>
        <v>yes</v>
      </c>
      <c r="M122" t="s">
        <v>311</v>
      </c>
      <c r="N122" s="65">
        <f ca="1">MIN(E109:E129)</f>
        <v>5</v>
      </c>
      <c r="P122" s="63" t="s">
        <v>335</v>
      </c>
      <c r="Q122" s="66" t="str">
        <f ca="1">IF(Q120&lt;Q121,"no","yes")</f>
        <v>yes</v>
      </c>
      <c r="AC122" t="s">
        <v>368</v>
      </c>
      <c r="AD122" s="74">
        <f ca="1">SQRT(AD121*(2*AD115+1)/6-[1]!TiesCorrection(D109:D129,E109:E129,1)/48)</f>
        <v>6.8190908484929276</v>
      </c>
      <c r="AE122" t="s">
        <v>369</v>
      </c>
    </row>
    <row r="123" spans="3:31" x14ac:dyDescent="0.3">
      <c r="C123" s="2" t="s">
        <v>299</v>
      </c>
      <c r="D123" s="37" cm="1">
        <f t="array" aca="1" ref="D123" ca="1">INDIRECT("'" &amp; C123 &amp; "'!$E$41")</f>
        <v>6</v>
      </c>
      <c r="E123" s="37" cm="1">
        <f t="array" aca="1" ref="E123" ca="1">INDIRECT("'" &amp; C123 &amp; "'!$F$41")</f>
        <v>6</v>
      </c>
      <c r="G123" t="s">
        <v>312</v>
      </c>
      <c r="H123" s="65">
        <f ca="1">SUM(D109:D129)</f>
        <v>128</v>
      </c>
      <c r="M123" t="s">
        <v>312</v>
      </c>
      <c r="N123" s="65">
        <f ca="1">SUM(E109:E129)</f>
        <v>136</v>
      </c>
      <c r="AC123" t="s">
        <v>370</v>
      </c>
      <c r="AD123" s="74">
        <f ca="1">ABS(ABS(AD118-AD121)-1/2)/AD122</f>
        <v>2.0530596102989462</v>
      </c>
      <c r="AE123" t="s">
        <v>371</v>
      </c>
    </row>
    <row r="124" spans="3:31" x14ac:dyDescent="0.3">
      <c r="C124" s="2" t="s">
        <v>395</v>
      </c>
      <c r="D124" s="37" cm="1">
        <f t="array" aca="1" ref="D124" ca="1">INDIRECT("'" &amp; C124 &amp; "'!$E$41")</f>
        <v>4</v>
      </c>
      <c r="E124" s="37" cm="1">
        <f t="array" aca="1" ref="E124" ca="1">INDIRECT("'" &amp; C124 &amp; "'!$F$41")</f>
        <v>6</v>
      </c>
      <c r="G124" t="s">
        <v>313</v>
      </c>
      <c r="H124">
        <f ca="1">COUNT(D109:D129)</f>
        <v>21</v>
      </c>
      <c r="M124" t="s">
        <v>313</v>
      </c>
      <c r="N124">
        <f ca="1">COUNT(E109:E129)</f>
        <v>21</v>
      </c>
      <c r="AC124" t="s">
        <v>372</v>
      </c>
      <c r="AD124" s="74">
        <f ca="1">AD123/SQRT(AD115)</f>
        <v>0.72586618631129773</v>
      </c>
    </row>
    <row r="125" spans="3:31" x14ac:dyDescent="0.3">
      <c r="C125" s="2" t="s">
        <v>396</v>
      </c>
      <c r="D125" s="37" cm="1">
        <f t="array" aca="1" ref="D125" ca="1">INDIRECT("'" &amp; C125 &amp; "'!$E$41")</f>
        <v>6</v>
      </c>
      <c r="E125" s="37" cm="1">
        <f t="array" aca="1" ref="E125" ca="1">INDIRECT("'" &amp; C125 &amp; "'!$F$41")</f>
        <v>5</v>
      </c>
      <c r="G125" t="s">
        <v>314</v>
      </c>
      <c r="H125">
        <f ca="1">GEOMEAN(D109:D129)</f>
        <v>6.0362878594131981</v>
      </c>
      <c r="M125" t="s">
        <v>314</v>
      </c>
      <c r="N125">
        <f ca="1">GEOMEAN(E109:E129)</f>
        <v>6.4483422645647099</v>
      </c>
      <c r="AC125" t="s">
        <v>373</v>
      </c>
      <c r="AD125" s="88">
        <f ca="1">1-_xlfn.NORM.S.DIST(AD123,TRUE)</f>
        <v>2.0033398269084901E-2</v>
      </c>
      <c r="AE125" s="104">
        <f ca="1">2*AD125</f>
        <v>4.0066796538169802E-2</v>
      </c>
    </row>
    <row r="126" spans="3:31" x14ac:dyDescent="0.3">
      <c r="C126" s="2" t="s">
        <v>397</v>
      </c>
      <c r="D126" s="37" cm="1">
        <f t="array" aca="1" ref="D126" ca="1">INDIRECT("'" &amp; C126 &amp; "'!$E$41")</f>
        <v>6</v>
      </c>
      <c r="E126" s="37" cm="1">
        <f t="array" aca="1" ref="E126" ca="1">INDIRECT("'" &amp; C126 &amp; "'!$F$41")</f>
        <v>6</v>
      </c>
      <c r="G126" t="s">
        <v>315</v>
      </c>
      <c r="H126">
        <f ca="1">HARMEAN(D109:D129)</f>
        <v>5.9715639810426557</v>
      </c>
      <c r="M126" t="s">
        <v>315</v>
      </c>
      <c r="N126">
        <f ca="1">HARMEAN(E109:E129)</f>
        <v>6.4192139737991285</v>
      </c>
      <c r="AC126" t="s">
        <v>374</v>
      </c>
      <c r="AD126" s="74">
        <f ca="1">[1]!SRDIST(AD118,AD115,1)</f>
        <v>1.953125E-2</v>
      </c>
      <c r="AE126" s="77">
        <f ca="1">2*AD126</f>
        <v>3.90625E-2</v>
      </c>
    </row>
    <row r="127" spans="3:31" x14ac:dyDescent="0.3">
      <c r="C127" s="2" t="s">
        <v>398</v>
      </c>
      <c r="D127" s="37" cm="1">
        <f t="array" aca="1" ref="D127" ca="1">INDIRECT("'" &amp; C127 &amp; "'!$E$41")</f>
        <v>6</v>
      </c>
      <c r="E127" s="37" cm="1">
        <f t="array" aca="1" ref="E127" ca="1">INDIRECT("'" &amp; C127 &amp; "'!$F$41")</f>
        <v>6</v>
      </c>
      <c r="G127" t="s">
        <v>316</v>
      </c>
      <c r="H127">
        <f ca="1">AVEDEV(D109:D129)</f>
        <v>0.60317460317460303</v>
      </c>
      <c r="M127" t="s">
        <v>316</v>
      </c>
      <c r="N127">
        <f ca="1">AVEDEV(E109:E129)</f>
        <v>0.5487528344671202</v>
      </c>
      <c r="AC127" t="s">
        <v>375</v>
      </c>
      <c r="AD127" s="75" t="s">
        <v>376</v>
      </c>
      <c r="AE127" s="78" t="s">
        <v>376</v>
      </c>
    </row>
    <row r="128" spans="3:31" x14ac:dyDescent="0.3">
      <c r="C128" s="2" t="s">
        <v>399</v>
      </c>
      <c r="D128" s="37" cm="1">
        <f t="array" aca="1" ref="D128" ca="1">INDIRECT("'" &amp; C128 &amp; "'!$E$41")</f>
        <v>7</v>
      </c>
      <c r="E128" s="37" cm="1">
        <f t="array" aca="1" ref="E128" ca="1">INDIRECT("'" &amp; C128 &amp; "'!$F$41")</f>
        <v>7</v>
      </c>
      <c r="G128" t="s">
        <v>317</v>
      </c>
      <c r="H128">
        <f ca="1">[1]!MAD(D109:D129)</f>
        <v>1</v>
      </c>
      <c r="M128" t="s">
        <v>317</v>
      </c>
      <c r="N128">
        <f ca="1">[1]!MAD(E109:E129)</f>
        <v>0</v>
      </c>
    </row>
    <row r="129" spans="3:31" x14ac:dyDescent="0.3">
      <c r="C129" s="2" t="s">
        <v>400</v>
      </c>
      <c r="D129" s="37" cm="1">
        <f t="array" aca="1" ref="D129" ca="1">INDIRECT("'" &amp; C129 &amp; "'!$E$41")</f>
        <v>5</v>
      </c>
      <c r="E129" s="37" cm="1">
        <f t="array" aca="1" ref="E129" ca="1">INDIRECT("'" &amp; C129 &amp; "'!$F$41")</f>
        <v>6</v>
      </c>
      <c r="G129" s="63" t="s">
        <v>318</v>
      </c>
      <c r="H129" s="63">
        <f ca="1">[1]!IQR(D109:D129,FALSE)</f>
        <v>1</v>
      </c>
      <c r="M129" s="63" t="s">
        <v>318</v>
      </c>
      <c r="N129" s="63">
        <f ca="1">[1]!IQR(E109:E129,FALSE)</f>
        <v>1</v>
      </c>
    </row>
    <row r="133" spans="3:31" x14ac:dyDescent="0.3">
      <c r="C133" s="2"/>
      <c r="D133" s="59" t="s">
        <v>75</v>
      </c>
      <c r="E133" s="2"/>
    </row>
    <row r="134" spans="3:31" x14ac:dyDescent="0.3">
      <c r="C134" s="2"/>
      <c r="D134" s="2"/>
      <c r="E134" s="2"/>
    </row>
    <row r="135" spans="3:31" x14ac:dyDescent="0.3">
      <c r="C135" s="2" t="s">
        <v>285</v>
      </c>
      <c r="D135" s="37" cm="1">
        <f t="array" aca="1" ref="D135" ca="1">INDIRECT("'" &amp; C135 &amp; "'!$E$42")</f>
        <v>6</v>
      </c>
      <c r="E135" s="37" cm="1">
        <f t="array" aca="1" ref="E135" ca="1">INDIRECT("'" &amp; C135 &amp; "'!$F$42")</f>
        <v>6</v>
      </c>
      <c r="G135" t="s">
        <v>300</v>
      </c>
      <c r="J135" t="s">
        <v>331</v>
      </c>
      <c r="M135" t="s">
        <v>300</v>
      </c>
      <c r="P135" t="s">
        <v>331</v>
      </c>
      <c r="S135" t="s">
        <v>338</v>
      </c>
      <c r="AC135" t="s">
        <v>358</v>
      </c>
    </row>
    <row r="136" spans="3:31" x14ac:dyDescent="0.3">
      <c r="C136" s="2" t="s">
        <v>286</v>
      </c>
      <c r="D136" s="37" cm="1">
        <f t="array" aca="1" ref="D136" ca="1">INDIRECT("'" &amp; C136 &amp; "'!$E$42")</f>
        <v>5</v>
      </c>
      <c r="E136" s="37" cm="1">
        <f t="array" aca="1" ref="E136" ca="1">INDIRECT("'" &amp; C136 &amp; "'!$F$42")</f>
        <v>7</v>
      </c>
    </row>
    <row r="137" spans="3:31" ht="15" thickBot="1" x14ac:dyDescent="0.35">
      <c r="C137" s="2" t="s">
        <v>287</v>
      </c>
      <c r="D137" s="37" cm="1">
        <f t="array" aca="1" ref="D137" ca="1">INDIRECT("'" &amp; C137 &amp; "'!$E$42")</f>
        <v>6</v>
      </c>
      <c r="E137" s="37" cm="1">
        <f t="array" aca="1" ref="E137" ca="1">INDIRECT("'" &amp; C137 &amp; "'!$F$42")</f>
        <v>6</v>
      </c>
      <c r="G137" s="64"/>
      <c r="H137" s="64" t="s">
        <v>379</v>
      </c>
      <c r="J137" s="64"/>
      <c r="K137" s="64" t="s">
        <v>379</v>
      </c>
      <c r="M137" s="64"/>
      <c r="N137" s="64" t="s">
        <v>379</v>
      </c>
      <c r="P137" s="64"/>
      <c r="Q137" s="64" t="s">
        <v>379</v>
      </c>
      <c r="S137" t="s">
        <v>339</v>
      </c>
      <c r="V137" t="s">
        <v>340</v>
      </c>
      <c r="W137">
        <v>0.05</v>
      </c>
      <c r="Y137" t="s">
        <v>341</v>
      </c>
      <c r="Z137">
        <v>0</v>
      </c>
      <c r="AD137" t="s">
        <v>381</v>
      </c>
      <c r="AE137" t="s">
        <v>382</v>
      </c>
    </row>
    <row r="138" spans="3:31" ht="15" thickTop="1" x14ac:dyDescent="0.3">
      <c r="C138" s="2" t="s">
        <v>288</v>
      </c>
      <c r="D138" s="37" cm="1">
        <f t="array" aca="1" ref="D138" ca="1">INDIRECT("'" &amp; C138 &amp; "'!$E$42")</f>
        <v>6</v>
      </c>
      <c r="E138" s="37" cm="1">
        <f t="array" aca="1" ref="E138" ca="1">INDIRECT("'" &amp; C138 &amp; "'!$F$42")</f>
        <v>6</v>
      </c>
      <c r="G138" t="s">
        <v>301</v>
      </c>
      <c r="H138" s="65">
        <f ca="1">AVERAGE(D135:D155)</f>
        <v>5.4761904761904763</v>
      </c>
      <c r="J138" t="s">
        <v>332</v>
      </c>
      <c r="K138">
        <f ca="1">[1]!SHAPIRO(D135:D155)</f>
        <v>0.81608333297845181</v>
      </c>
      <c r="M138" t="s">
        <v>301</v>
      </c>
      <c r="N138" s="65">
        <f ca="1">AVERAGE(E135:E155)</f>
        <v>6.1428571428571432</v>
      </c>
      <c r="P138" t="s">
        <v>332</v>
      </c>
      <c r="Q138">
        <f ca="1">[1]!SHAPIRO(E135:E155)</f>
        <v>0.75008798646621788</v>
      </c>
      <c r="S138" s="68" t="s">
        <v>342</v>
      </c>
      <c r="T138" s="68" t="s">
        <v>313</v>
      </c>
      <c r="U138" s="68" t="s">
        <v>301</v>
      </c>
      <c r="V138" s="68" t="s">
        <v>343</v>
      </c>
      <c r="W138" s="68" t="s">
        <v>344</v>
      </c>
      <c r="X138" s="68" t="s">
        <v>345</v>
      </c>
      <c r="Y138" s="68" t="s">
        <v>346</v>
      </c>
      <c r="Z138" s="68" t="s">
        <v>347</v>
      </c>
      <c r="AA138" s="68" t="s">
        <v>348</v>
      </c>
      <c r="AC138" t="s">
        <v>359</v>
      </c>
      <c r="AD138" s="102">
        <f ca="1">MEDIAN(D135:D155)</f>
        <v>6</v>
      </c>
      <c r="AE138" s="103">
        <f ca="1">MEDIAN(E135:E155)</f>
        <v>6</v>
      </c>
    </row>
    <row r="139" spans="3:31" x14ac:dyDescent="0.3">
      <c r="C139" s="2" t="s">
        <v>289</v>
      </c>
      <c r="D139" s="37" cm="1">
        <f t="array" aca="1" ref="D139" ca="1">INDIRECT("'" &amp; C139 &amp; "'!$E$42")</f>
        <v>5</v>
      </c>
      <c r="E139" s="37" cm="1">
        <f t="array" aca="1" ref="E139" ca="1">INDIRECT("'" &amp; C139 &amp; "'!$F$42")</f>
        <v>6</v>
      </c>
      <c r="G139" t="s">
        <v>302</v>
      </c>
      <c r="H139">
        <f ca="1">_xlfn.STDEV.S(D135:D155)/SQRT(COUNT(D135:D155))</f>
        <v>0.26384562242276294</v>
      </c>
      <c r="J139" t="s">
        <v>333</v>
      </c>
      <c r="K139">
        <f ca="1">[1]!SWTEST(D135:D155)</f>
        <v>1.1679330867776505E-3</v>
      </c>
      <c r="M139" t="s">
        <v>302</v>
      </c>
      <c r="N139">
        <f ca="1">_xlfn.STDEV.S(E135:E155)/SQRT(COUNT(E135:E155))</f>
        <v>0.15865077379959686</v>
      </c>
      <c r="P139" t="s">
        <v>333</v>
      </c>
      <c r="Q139">
        <f ca="1">[1]!SWTEST(E135:E155)</f>
        <v>1.2428628793303975E-4</v>
      </c>
      <c r="S139" t="s">
        <v>379</v>
      </c>
      <c r="T139">
        <f ca="1">COUNT(D135:D155)</f>
        <v>21</v>
      </c>
      <c r="U139" s="65">
        <f ca="1">AVERAGE(D135:D155)</f>
        <v>5.4761904761904763</v>
      </c>
      <c r="V139">
        <f ca="1">_xlfn.STDEV.S(D135:D155)</f>
        <v>1.2090925365350491</v>
      </c>
    </row>
    <row r="140" spans="3:31" x14ac:dyDescent="0.3">
      <c r="C140" s="2" t="s">
        <v>290</v>
      </c>
      <c r="D140" s="37" cm="1">
        <f t="array" aca="1" ref="D140" ca="1">INDIRECT("'" &amp; C140 &amp; "'!$E$42")</f>
        <v>6</v>
      </c>
      <c r="E140" s="37" cm="1">
        <f t="array" aca="1" ref="E140" ca="1">INDIRECT("'" &amp; C140 &amp; "'!$F$42")</f>
        <v>6</v>
      </c>
      <c r="G140" t="s">
        <v>303</v>
      </c>
      <c r="H140" s="65">
        <f ca="1">MEDIAN(D135:D155)</f>
        <v>6</v>
      </c>
      <c r="J140" t="s">
        <v>334</v>
      </c>
      <c r="K140">
        <v>0.05</v>
      </c>
      <c r="M140" t="s">
        <v>303</v>
      </c>
      <c r="N140" s="65">
        <f ca="1">MEDIAN(E135:E155)</f>
        <v>6</v>
      </c>
      <c r="P140" t="s">
        <v>334</v>
      </c>
      <c r="Q140">
        <v>0.05</v>
      </c>
      <c r="S140" t="s">
        <v>380</v>
      </c>
      <c r="T140">
        <f ca="1">COUNT(E135:E155)</f>
        <v>21</v>
      </c>
      <c r="U140" s="65">
        <f ca="1">AVERAGE(E135:E155)</f>
        <v>6.1428571428571432</v>
      </c>
      <c r="V140">
        <f ca="1">_xlfn.STDEV.S(E135:E155)</f>
        <v>0.7270291799999693</v>
      </c>
      <c r="AC140" t="s">
        <v>360</v>
      </c>
      <c r="AD140" s="88">
        <f ca="1">SUMPRODUCT(--ISNUMBER(D135:D155),--ISNUMBER(E135:E155))</f>
        <v>21</v>
      </c>
    </row>
    <row r="141" spans="3:31" x14ac:dyDescent="0.3">
      <c r="C141" s="2" t="s">
        <v>291</v>
      </c>
      <c r="D141" s="37" cm="1">
        <f t="array" aca="1" ref="D141" ca="1">INDIRECT("'" &amp; C141 &amp; "'!$E$42")</f>
        <v>6</v>
      </c>
      <c r="E141" s="37" cm="1">
        <f t="array" aca="1" ref="E141" ca="1">INDIRECT("'" &amp; C141 &amp; "'!$F$42")</f>
        <v>6</v>
      </c>
      <c r="G141" t="s">
        <v>304</v>
      </c>
      <c r="H141">
        <f ca="1">MODE(D135:D155)</f>
        <v>6</v>
      </c>
      <c r="J141" s="63" t="s">
        <v>335</v>
      </c>
      <c r="K141" s="66" t="str">
        <f ca="1">IF(K139&lt;K140,"no","yes")</f>
        <v>no</v>
      </c>
      <c r="M141" t="s">
        <v>304</v>
      </c>
      <c r="N141">
        <f ca="1">MODE(E135:E155)</f>
        <v>6</v>
      </c>
      <c r="P141" s="63" t="s">
        <v>335</v>
      </c>
      <c r="Q141" s="66" t="str">
        <f ca="1">IF(Q139&lt;Q140,"no","yes")</f>
        <v>no</v>
      </c>
      <c r="S141" s="85" t="s">
        <v>349</v>
      </c>
      <c r="T141" s="85">
        <f ca="1">T140</f>
        <v>21</v>
      </c>
      <c r="U141" s="100">
        <f ca="1">U139-U140</f>
        <v>-0.66666666666666696</v>
      </c>
      <c r="V141" s="85">
        <f t="array" aca="1" ref="V141" ca="1">_xlfn.STDEV.S(D135:D155-E135:E155)</f>
        <v>0.91287092917527679</v>
      </c>
      <c r="W141" s="85">
        <f ca="1">V141/SQRT(T141)</f>
        <v>0.19920476822239894</v>
      </c>
      <c r="X141" s="85">
        <f ca="1">(U139-U140-Z137)/W141</f>
        <v>-3.3466401061363036</v>
      </c>
      <c r="Y141" s="85">
        <f ca="1">T141-1</f>
        <v>20</v>
      </c>
      <c r="Z141" s="85">
        <f ca="1">ABS(U139-U140-Z137)/V141</f>
        <v>0.73029674334022188</v>
      </c>
      <c r="AA141" s="85">
        <f ca="1">SQRT(X141^2/(X141^2+Y141))</f>
        <v>0.59914468951527822</v>
      </c>
      <c r="AC141" t="s">
        <v>361</v>
      </c>
      <c r="AD141" s="74">
        <f ca="1">SUMPRODUCT(--ISNUMBER(D135:D155),--ISNUMBER(E135:E155),--(D135:D155&lt;&gt;E135:E155))</f>
        <v>9</v>
      </c>
    </row>
    <row r="142" spans="3:31" x14ac:dyDescent="0.3">
      <c r="C142" s="2" t="s">
        <v>292</v>
      </c>
      <c r="D142" s="37" cm="1">
        <f t="array" aca="1" ref="D142" ca="1">INDIRECT("'" &amp; C142 &amp; "'!$E$42")</f>
        <v>7</v>
      </c>
      <c r="E142" s="37" cm="1">
        <f t="array" aca="1" ref="E142" ca="1">INDIRECT("'" &amp; C142 &amp; "'!$F$42")</f>
        <v>7</v>
      </c>
      <c r="G142" t="s">
        <v>305</v>
      </c>
      <c r="H142">
        <f ca="1">_xlfn.STDEV.S(D135:D155)</f>
        <v>1.2090925365350491</v>
      </c>
      <c r="M142" t="s">
        <v>305</v>
      </c>
      <c r="N142">
        <f ca="1">_xlfn.STDEV.S(E135:E155)</f>
        <v>0.7270291799999693</v>
      </c>
      <c r="AC142" t="s">
        <v>362</v>
      </c>
      <c r="AD142" s="74">
        <f ca="1">IF(AD144&lt;=AD147,AD144,AD141*(AD141+1)/2)</f>
        <v>0</v>
      </c>
    </row>
    <row r="143" spans="3:31" ht="15" thickBot="1" x14ac:dyDescent="0.35">
      <c r="C143" s="2" t="s">
        <v>293</v>
      </c>
      <c r="D143" s="37" cm="1">
        <f t="array" aca="1" ref="D143" ca="1">INDIRECT("'" &amp; C143 &amp; "'!$E$42")</f>
        <v>6</v>
      </c>
      <c r="E143" s="37" cm="1">
        <f t="array" aca="1" ref="E143" ca="1">INDIRECT("'" &amp; C143 &amp; "'!$F$42")</f>
        <v>7</v>
      </c>
      <c r="G143" t="s">
        <v>306</v>
      </c>
      <c r="H143">
        <f ca="1">_xlfn.VAR.S(D135:D155)</f>
        <v>1.4619047619047592</v>
      </c>
      <c r="J143" t="s">
        <v>336</v>
      </c>
      <c r="M143" t="s">
        <v>306</v>
      </c>
      <c r="N143">
        <f ca="1">_xlfn.VAR.S(E135:E155)</f>
        <v>0.5285714285714278</v>
      </c>
      <c r="P143" t="s">
        <v>336</v>
      </c>
      <c r="S143" t="s">
        <v>350</v>
      </c>
      <c r="AC143" t="s">
        <v>363</v>
      </c>
      <c r="AD143" s="74">
        <f ca="1">AD141*(AD141+1)/2-AD142</f>
        <v>45</v>
      </c>
    </row>
    <row r="144" spans="3:31" ht="15" thickTop="1" x14ac:dyDescent="0.3">
      <c r="C144" s="2" t="s">
        <v>294</v>
      </c>
      <c r="D144" s="37" cm="1">
        <f t="array" aca="1" ref="D144" ca="1">INDIRECT("'" &amp; C144 &amp; "'!$E$42")</f>
        <v>2</v>
      </c>
      <c r="E144" s="37" cm="1">
        <f t="array" aca="1" ref="E144" ca="1">INDIRECT("'" &amp; C144 &amp; "'!$F$42")</f>
        <v>4</v>
      </c>
      <c r="G144" t="s">
        <v>307</v>
      </c>
      <c r="H144">
        <f ca="1">KURT(D135:D155)</f>
        <v>2.8382989963316647</v>
      </c>
      <c r="M144" t="s">
        <v>307</v>
      </c>
      <c r="N144">
        <f ca="1">KURT(E135:E155)</f>
        <v>2.7853600399830882</v>
      </c>
      <c r="S144" s="68" t="s">
        <v>351</v>
      </c>
      <c r="T144" s="68" t="s">
        <v>333</v>
      </c>
      <c r="U144" s="68" t="s">
        <v>352</v>
      </c>
      <c r="V144" s="68" t="s">
        <v>353</v>
      </c>
      <c r="W144" s="68" t="s">
        <v>354</v>
      </c>
      <c r="X144" s="68" t="s">
        <v>355</v>
      </c>
      <c r="AC144" t="s">
        <v>364</v>
      </c>
      <c r="AD144" s="75">
        <f ca="1">[1]!SRANK(D135:D155,E135:E155)</f>
        <v>0</v>
      </c>
    </row>
    <row r="145" spans="3:31" x14ac:dyDescent="0.3">
      <c r="C145" s="2" t="s">
        <v>295</v>
      </c>
      <c r="D145" s="37" cm="1">
        <f t="array" aca="1" ref="D145" ca="1">INDIRECT("'" &amp; C145 &amp; "'!$E$42")</f>
        <v>7</v>
      </c>
      <c r="E145" s="37" cm="1">
        <f t="array" aca="1" ref="E145" ca="1">INDIRECT("'" &amp; C145 &amp; "'!$F$42")</f>
        <v>7</v>
      </c>
      <c r="G145" t="s">
        <v>308</v>
      </c>
      <c r="H145">
        <f ca="1">SKEW(D135:D155)</f>
        <v>-1.4393198370146776</v>
      </c>
      <c r="J145" s="85" t="s">
        <v>337</v>
      </c>
      <c r="K145" s="85">
        <f ca="1">[1]!DAGOSTINO(D135:D155)</f>
        <v>11.643377270229447</v>
      </c>
      <c r="M145" t="s">
        <v>308</v>
      </c>
      <c r="N145">
        <f ca="1">SKEW(E135:E155)</f>
        <v>-1.0917596313405429</v>
      </c>
      <c r="P145" s="85" t="s">
        <v>337</v>
      </c>
      <c r="Q145" s="85">
        <f ca="1">[1]!DAGOSTINO(E135:E155)</f>
        <v>8.9675816227505152</v>
      </c>
      <c r="S145" t="s">
        <v>356</v>
      </c>
      <c r="T145">
        <f ca="1">_xlfn.T.DIST.RT(ABS(X141),Y141)</f>
        <v>1.6064654883311087E-3</v>
      </c>
      <c r="U145">
        <f ca="1">_xlfn.T.INV.2T(W137*2,Y141)</f>
        <v>1.7247182429207868</v>
      </c>
      <c r="X145" s="70" t="str">
        <f ca="1">IF(T145&lt;W137,"yes","no")</f>
        <v>yes</v>
      </c>
    </row>
    <row r="146" spans="3:31" x14ac:dyDescent="0.3">
      <c r="C146" s="2" t="s">
        <v>296</v>
      </c>
      <c r="D146" s="37" cm="1">
        <f t="array" aca="1" ref="D146" ca="1">INDIRECT("'" &amp; C146 &amp; "'!$E$42")</f>
        <v>5</v>
      </c>
      <c r="E146" s="37" cm="1">
        <f t="array" aca="1" ref="E146" ca="1">INDIRECT("'" &amp; C146 &amp; "'!$F$42")</f>
        <v>6</v>
      </c>
      <c r="G146" t="s">
        <v>309</v>
      </c>
      <c r="H146">
        <f ca="1">H147-H148</f>
        <v>5</v>
      </c>
      <c r="J146" t="s">
        <v>333</v>
      </c>
      <c r="K146">
        <f ca="1">[1]!DPTEST(D135:D155)</f>
        <v>2.9625981711923766E-3</v>
      </c>
      <c r="M146" t="s">
        <v>309</v>
      </c>
      <c r="N146">
        <f ca="1">N147-N148</f>
        <v>3</v>
      </c>
      <c r="P146" t="s">
        <v>333</v>
      </c>
      <c r="Q146">
        <f ca="1">[1]!DPTEST(E135:E155)</f>
        <v>1.1290531652355051E-2</v>
      </c>
      <c r="S146" t="s">
        <v>357</v>
      </c>
      <c r="T146">
        <f ca="1">_xlfn.T.DIST.2T(ABS(X141),Y141)</f>
        <v>3.2129309766622174E-3</v>
      </c>
      <c r="U146">
        <f ca="1">_xlfn.T.INV.2T(W137,Y141)</f>
        <v>2.0859634472658648</v>
      </c>
      <c r="V146">
        <f ca="1">(U139-U140)-W141*U146</f>
        <v>-1.0822005316996599</v>
      </c>
      <c r="W146">
        <f ca="1">(U139-U140)+W141*U146</f>
        <v>-0.25113280163367407</v>
      </c>
      <c r="X146" s="70" t="str">
        <f ca="1">IF(T146&lt;W137,"yes","no")</f>
        <v>yes</v>
      </c>
      <c r="AD146" s="70" t="s">
        <v>365</v>
      </c>
      <c r="AE146" s="70" t="s">
        <v>366</v>
      </c>
    </row>
    <row r="147" spans="3:31" x14ac:dyDescent="0.3">
      <c r="C147" s="2" t="s">
        <v>297</v>
      </c>
      <c r="D147" s="37" cm="1">
        <f t="array" aca="1" ref="D147" ca="1">INDIRECT("'" &amp; C147 &amp; "'!$E$42")</f>
        <v>5</v>
      </c>
      <c r="E147" s="37" cm="1">
        <f t="array" aca="1" ref="E147" ca="1">INDIRECT("'" &amp; C147 &amp; "'!$F$42")</f>
        <v>7</v>
      </c>
      <c r="G147" t="s">
        <v>310</v>
      </c>
      <c r="H147" s="65">
        <f ca="1">MAX(D135:D155)</f>
        <v>7</v>
      </c>
      <c r="J147" t="s">
        <v>334</v>
      </c>
      <c r="K147">
        <v>0.05</v>
      </c>
      <c r="M147" t="s">
        <v>310</v>
      </c>
      <c r="N147" s="65">
        <f ca="1">MAX(E135:E155)</f>
        <v>7</v>
      </c>
      <c r="P147" t="s">
        <v>334</v>
      </c>
      <c r="Q147">
        <v>0.05</v>
      </c>
      <c r="S147" s="85"/>
      <c r="T147" s="85"/>
      <c r="U147" s="85"/>
      <c r="V147" s="85"/>
      <c r="W147" s="85"/>
      <c r="X147" s="85"/>
      <c r="AC147" t="s">
        <v>367</v>
      </c>
      <c r="AD147" s="88">
        <f ca="1">AD141*(AD141+1)/4</f>
        <v>22.5</v>
      </c>
    </row>
    <row r="148" spans="3:31" x14ac:dyDescent="0.3">
      <c r="C148" s="2" t="s">
        <v>298</v>
      </c>
      <c r="D148" s="37" cm="1">
        <f t="array" aca="1" ref="D148" ca="1">INDIRECT("'" &amp; C148 &amp; "'!$E$42")</f>
        <v>7</v>
      </c>
      <c r="E148" s="37" cm="1">
        <f t="array" aca="1" ref="E148" ca="1">INDIRECT("'" &amp; C148 &amp; "'!$F$42")</f>
        <v>7</v>
      </c>
      <c r="G148" t="s">
        <v>311</v>
      </c>
      <c r="H148" s="65">
        <f ca="1">MIN(D135:D155)</f>
        <v>2</v>
      </c>
      <c r="J148" s="63" t="s">
        <v>335</v>
      </c>
      <c r="K148" s="66" t="str">
        <f ca="1">IF(K146&lt;K147,"no","yes")</f>
        <v>no</v>
      </c>
      <c r="M148" t="s">
        <v>311</v>
      </c>
      <c r="N148" s="65">
        <f ca="1">MIN(E135:E155)</f>
        <v>4</v>
      </c>
      <c r="P148" s="63" t="s">
        <v>335</v>
      </c>
      <c r="Q148" s="66" t="str">
        <f ca="1">IF(Q146&lt;Q147,"no","yes")</f>
        <v>no</v>
      </c>
      <c r="AC148" t="s">
        <v>368</v>
      </c>
      <c r="AD148" s="74">
        <f ca="1">SQRT(AD147*(2*AD141+1)/6-[1]!TiesCorrection(D135:D155,E135:E155,1)/48)</f>
        <v>8.2613558209291522</v>
      </c>
      <c r="AE148" t="s">
        <v>369</v>
      </c>
    </row>
    <row r="149" spans="3:31" x14ac:dyDescent="0.3">
      <c r="C149" s="2" t="s">
        <v>299</v>
      </c>
      <c r="D149" s="37" cm="1">
        <f t="array" aca="1" ref="D149" ca="1">INDIRECT("'" &amp; C149 &amp; "'!$E$42")</f>
        <v>6</v>
      </c>
      <c r="E149" s="37" cm="1">
        <f t="array" aca="1" ref="E149" ca="1">INDIRECT("'" &amp; C149 &amp; "'!$F$42")</f>
        <v>6</v>
      </c>
      <c r="G149" t="s">
        <v>312</v>
      </c>
      <c r="H149" s="65">
        <f ca="1">SUM(D135:D155)</f>
        <v>115</v>
      </c>
      <c r="M149" t="s">
        <v>312</v>
      </c>
      <c r="N149" s="65">
        <f ca="1">SUM(E135:E155)</f>
        <v>129</v>
      </c>
      <c r="AC149" t="s">
        <v>370</v>
      </c>
      <c r="AD149" s="74">
        <f ca="1">ABS(ABS(AD144-AD147)-1/2)/AD148</f>
        <v>2.663001143742731</v>
      </c>
      <c r="AE149" t="s">
        <v>371</v>
      </c>
    </row>
    <row r="150" spans="3:31" x14ac:dyDescent="0.3">
      <c r="C150" s="2" t="s">
        <v>395</v>
      </c>
      <c r="D150" s="37" cm="1">
        <f t="array" aca="1" ref="D150" ca="1">INDIRECT("'" &amp; C150 &amp; "'!$E$42")</f>
        <v>6</v>
      </c>
      <c r="E150" s="37" cm="1">
        <f t="array" aca="1" ref="E150" ca="1">INDIRECT("'" &amp; C150 &amp; "'!$F$42")</f>
        <v>6</v>
      </c>
      <c r="G150" t="s">
        <v>313</v>
      </c>
      <c r="H150">
        <f ca="1">COUNT(D135:D155)</f>
        <v>21</v>
      </c>
      <c r="M150" t="s">
        <v>313</v>
      </c>
      <c r="N150">
        <f ca="1">COUNT(E135:E155)</f>
        <v>21</v>
      </c>
      <c r="AC150" t="s">
        <v>372</v>
      </c>
      <c r="AD150" s="74">
        <f ca="1">AD149/SQRT(AD141)</f>
        <v>0.88766704791424367</v>
      </c>
    </row>
    <row r="151" spans="3:31" x14ac:dyDescent="0.3">
      <c r="C151" s="2" t="s">
        <v>396</v>
      </c>
      <c r="D151" s="37" cm="1">
        <f t="array" aca="1" ref="D151" ca="1">INDIRECT("'" &amp; C151 &amp; "'!$E$42")</f>
        <v>6</v>
      </c>
      <c r="E151" s="37" cm="1">
        <f t="array" aca="1" ref="E151" ca="1">INDIRECT("'" &amp; C151 &amp; "'!$F$42")</f>
        <v>6</v>
      </c>
      <c r="G151" t="s">
        <v>314</v>
      </c>
      <c r="H151">
        <f ca="1">GEOMEAN(D135:D155)</f>
        <v>5.2998857470532945</v>
      </c>
      <c r="M151" t="s">
        <v>314</v>
      </c>
      <c r="N151">
        <f ca="1">GEOMEAN(E135:E155)</f>
        <v>6.0970965314909193</v>
      </c>
      <c r="AC151" t="s">
        <v>373</v>
      </c>
      <c r="AD151" s="88">
        <f ca="1">1-_xlfn.NORM.S.DIST(AD149,TRUE)</f>
        <v>3.8723575443661007E-3</v>
      </c>
      <c r="AE151" s="104">
        <f ca="1">2*AD151</f>
        <v>7.7447150887322014E-3</v>
      </c>
    </row>
    <row r="152" spans="3:31" x14ac:dyDescent="0.3">
      <c r="C152" s="2" t="s">
        <v>397</v>
      </c>
      <c r="D152" s="37" cm="1">
        <f t="array" aca="1" ref="D152" ca="1">INDIRECT("'" &amp; C152 &amp; "'!$E$42")</f>
        <v>5</v>
      </c>
      <c r="E152" s="37" cm="1">
        <f t="array" aca="1" ref="E152" ca="1">INDIRECT("'" &amp; C152 &amp; "'!$F$42")</f>
        <v>6</v>
      </c>
      <c r="G152" t="s">
        <v>315</v>
      </c>
      <c r="H152">
        <f ca="1">HARMEAN(D135:D155)</f>
        <v>5.0457665903890163</v>
      </c>
      <c r="M152" t="s">
        <v>315</v>
      </c>
      <c r="N152">
        <f ca="1">HARMEAN(E135:E155)</f>
        <v>6.04523646333105</v>
      </c>
      <c r="AC152" t="s">
        <v>374</v>
      </c>
      <c r="AD152" s="74">
        <f ca="1">[1]!SRDIST(AD144,AD141,1)</f>
        <v>1.953125E-3</v>
      </c>
      <c r="AE152" s="77">
        <f ca="1">2*AD152</f>
        <v>3.90625E-3</v>
      </c>
    </row>
    <row r="153" spans="3:31" x14ac:dyDescent="0.3">
      <c r="C153" s="2" t="s">
        <v>398</v>
      </c>
      <c r="D153" s="37" cm="1">
        <f t="array" aca="1" ref="D153" ca="1">INDIRECT("'" &amp; C153 &amp; "'!$E$42")</f>
        <v>5</v>
      </c>
      <c r="E153" s="37" cm="1">
        <f t="array" aca="1" ref="E153" ca="1">INDIRECT("'" &amp; C153 &amp; "'!$F$42")</f>
        <v>5</v>
      </c>
      <c r="G153" t="s">
        <v>316</v>
      </c>
      <c r="H153">
        <f ca="1">AVEDEV(D135:D155)</f>
        <v>0.88435374149659851</v>
      </c>
      <c r="M153" t="s">
        <v>316</v>
      </c>
      <c r="N153">
        <f ca="1">AVEDEV(E135:E155)</f>
        <v>0.48979591836734687</v>
      </c>
      <c r="AC153" t="s">
        <v>375</v>
      </c>
      <c r="AD153" s="75" t="s">
        <v>376</v>
      </c>
      <c r="AE153" s="78" t="s">
        <v>376</v>
      </c>
    </row>
    <row r="154" spans="3:31" x14ac:dyDescent="0.3">
      <c r="C154" s="2" t="s">
        <v>399</v>
      </c>
      <c r="D154" s="37" cm="1">
        <f t="array" aca="1" ref="D154" ca="1">INDIRECT("'" &amp; C154 &amp; "'!$E$42")</f>
        <v>3</v>
      </c>
      <c r="E154" s="37" cm="1">
        <f t="array" aca="1" ref="E154" ca="1">INDIRECT("'" &amp; C154 &amp; "'!$F$42")</f>
        <v>6</v>
      </c>
      <c r="G154" t="s">
        <v>317</v>
      </c>
      <c r="H154">
        <f ca="1">[1]!MAD(D135:D155)</f>
        <v>1</v>
      </c>
      <c r="M154" t="s">
        <v>317</v>
      </c>
      <c r="N154">
        <f ca="1">[1]!MAD(E135:E155)</f>
        <v>0</v>
      </c>
    </row>
    <row r="155" spans="3:31" x14ac:dyDescent="0.3">
      <c r="C155" s="2" t="s">
        <v>400</v>
      </c>
      <c r="D155" s="37" cm="1">
        <f t="array" aca="1" ref="D155" ca="1">INDIRECT("'" &amp; C155 &amp; "'!$E$42")</f>
        <v>5</v>
      </c>
      <c r="E155" s="37" cm="1">
        <f t="array" aca="1" ref="E155" ca="1">INDIRECT("'" &amp; C155 &amp; "'!$F$42")</f>
        <v>6</v>
      </c>
      <c r="G155" s="63" t="s">
        <v>318</v>
      </c>
      <c r="H155" s="63">
        <f ca="1">[1]!IQR(D135:D155,FALSE)</f>
        <v>1</v>
      </c>
      <c r="M155" s="63" t="s">
        <v>318</v>
      </c>
      <c r="N155" s="63">
        <f ca="1">[1]!IQR(E135:E155,FALSE)</f>
        <v>1</v>
      </c>
    </row>
    <row r="159" spans="3:31" x14ac:dyDescent="0.3">
      <c r="C159" s="2"/>
      <c r="D159" s="59" t="s">
        <v>77</v>
      </c>
      <c r="E159" s="2"/>
    </row>
    <row r="160" spans="3:31" x14ac:dyDescent="0.3">
      <c r="C160" s="2"/>
      <c r="D160" s="2"/>
      <c r="E160" s="2"/>
    </row>
    <row r="161" spans="3:31" x14ac:dyDescent="0.3">
      <c r="C161" s="2" t="s">
        <v>285</v>
      </c>
      <c r="D161" s="37" cm="1">
        <f t="array" aca="1" ref="D161" ca="1">INDIRECT("'" &amp; C161 &amp; "'!$E$43")</f>
        <v>5</v>
      </c>
      <c r="E161" s="37" cm="1">
        <f t="array" aca="1" ref="E161" ca="1">INDIRECT("'" &amp; C161 &amp; "'!$F$43")</f>
        <v>7</v>
      </c>
      <c r="G161" t="s">
        <v>300</v>
      </c>
      <c r="J161" t="s">
        <v>331</v>
      </c>
      <c r="M161" t="s">
        <v>300</v>
      </c>
      <c r="P161" t="s">
        <v>331</v>
      </c>
      <c r="S161" t="s">
        <v>338</v>
      </c>
      <c r="AC161" t="s">
        <v>358</v>
      </c>
    </row>
    <row r="162" spans="3:31" x14ac:dyDescent="0.3">
      <c r="C162" s="2" t="s">
        <v>286</v>
      </c>
      <c r="D162" s="37" cm="1">
        <f t="array" aca="1" ref="D162" ca="1">INDIRECT("'" &amp; C162 &amp; "'!$E$43")</f>
        <v>5</v>
      </c>
      <c r="E162" s="37" cm="1">
        <f t="array" aca="1" ref="E162" ca="1">INDIRECT("'" &amp; C162 &amp; "'!$F$43")</f>
        <v>5</v>
      </c>
    </row>
    <row r="163" spans="3:31" ht="15" thickBot="1" x14ac:dyDescent="0.35">
      <c r="C163" s="2" t="s">
        <v>287</v>
      </c>
      <c r="D163" s="37" cm="1">
        <f t="array" aca="1" ref="D163" ca="1">INDIRECT("'" &amp; C163 &amp; "'!$E$43")</f>
        <v>7</v>
      </c>
      <c r="E163" s="37" cm="1">
        <f t="array" aca="1" ref="E163" ca="1">INDIRECT("'" &amp; C163 &amp; "'!$F$43")</f>
        <v>6</v>
      </c>
      <c r="G163" s="64"/>
      <c r="H163" s="64" t="s">
        <v>379</v>
      </c>
      <c r="J163" s="64"/>
      <c r="K163" s="64" t="s">
        <v>379</v>
      </c>
      <c r="M163" s="64"/>
      <c r="N163" s="64" t="s">
        <v>379</v>
      </c>
      <c r="P163" s="64"/>
      <c r="Q163" s="64" t="s">
        <v>379</v>
      </c>
      <c r="S163" t="s">
        <v>339</v>
      </c>
      <c r="V163" t="s">
        <v>340</v>
      </c>
      <c r="W163">
        <v>0.05</v>
      </c>
      <c r="Y163" t="s">
        <v>341</v>
      </c>
      <c r="Z163">
        <v>0</v>
      </c>
      <c r="AD163" t="s">
        <v>381</v>
      </c>
      <c r="AE163" t="s">
        <v>382</v>
      </c>
    </row>
    <row r="164" spans="3:31" ht="15" thickTop="1" x14ac:dyDescent="0.3">
      <c r="C164" s="2" t="s">
        <v>288</v>
      </c>
      <c r="D164" s="37" cm="1">
        <f t="array" aca="1" ref="D164" ca="1">INDIRECT("'" &amp; C164 &amp; "'!$E$43")</f>
        <v>5</v>
      </c>
      <c r="E164" s="37" cm="1">
        <f t="array" aca="1" ref="E164" ca="1">INDIRECT("'" &amp; C164 &amp; "'!$F$43")</f>
        <v>5</v>
      </c>
      <c r="G164" t="s">
        <v>301</v>
      </c>
      <c r="H164" s="65">
        <f ca="1">AVERAGE(D161:D181)</f>
        <v>5.0476190476190474</v>
      </c>
      <c r="J164" t="s">
        <v>332</v>
      </c>
      <c r="K164">
        <f ca="1">[1]!SHAPIRO(D161:D181)</f>
        <v>0.86177424066325126</v>
      </c>
      <c r="M164" t="s">
        <v>301</v>
      </c>
      <c r="N164" s="65">
        <f ca="1">AVERAGE(E161:E181)</f>
        <v>5.7619047619047619</v>
      </c>
      <c r="P164" t="s">
        <v>332</v>
      </c>
      <c r="Q164">
        <f ca="1">[1]!SHAPIRO(E161:E181)</f>
        <v>0.83110007067341707</v>
      </c>
      <c r="S164" s="68" t="s">
        <v>342</v>
      </c>
      <c r="T164" s="68" t="s">
        <v>313</v>
      </c>
      <c r="U164" s="68" t="s">
        <v>301</v>
      </c>
      <c r="V164" s="68" t="s">
        <v>343</v>
      </c>
      <c r="W164" s="68" t="s">
        <v>344</v>
      </c>
      <c r="X164" s="68" t="s">
        <v>345</v>
      </c>
      <c r="Y164" s="68" t="s">
        <v>346</v>
      </c>
      <c r="Z164" s="68" t="s">
        <v>347</v>
      </c>
      <c r="AA164" s="68" t="s">
        <v>348</v>
      </c>
      <c r="AC164" t="s">
        <v>359</v>
      </c>
      <c r="AD164" s="102">
        <f ca="1">MEDIAN(D161:D181)</f>
        <v>5</v>
      </c>
      <c r="AE164" s="103">
        <f ca="1">MEDIAN(E161:E181)</f>
        <v>6</v>
      </c>
    </row>
    <row r="165" spans="3:31" x14ac:dyDescent="0.3">
      <c r="C165" s="2" t="s">
        <v>289</v>
      </c>
      <c r="D165" s="37" cm="1">
        <f t="array" aca="1" ref="D165" ca="1">INDIRECT("'" &amp; C165 &amp; "'!$E$43")</f>
        <v>6</v>
      </c>
      <c r="E165" s="37" cm="1">
        <f t="array" aca="1" ref="E165" ca="1">INDIRECT("'" &amp; C165 &amp; "'!$F$43")</f>
        <v>6</v>
      </c>
      <c r="G165" t="s">
        <v>302</v>
      </c>
      <c r="H165">
        <f ca="1">_xlfn.STDEV.S(D161:D181)/SQRT(COUNT(D161:D181))</f>
        <v>0.31979301695963458</v>
      </c>
      <c r="J165" t="s">
        <v>333</v>
      </c>
      <c r="K165">
        <f ca="1">[1]!SWTEST(D161:D181)</f>
        <v>6.8229101535048908E-3</v>
      </c>
      <c r="M165" t="s">
        <v>302</v>
      </c>
      <c r="N165">
        <f ca="1">_xlfn.STDEV.S(E161:E181)/SQRT(COUNT(E161:E181))</f>
        <v>0.25731916354488205</v>
      </c>
      <c r="P165" t="s">
        <v>333</v>
      </c>
      <c r="Q165">
        <f ca="1">[1]!SWTEST(E161:E181)</f>
        <v>2.0417875885025971E-3</v>
      </c>
      <c r="S165" t="s">
        <v>379</v>
      </c>
      <c r="T165">
        <f ca="1">COUNT(D161:D181)</f>
        <v>21</v>
      </c>
      <c r="U165" s="65">
        <f ca="1">AVERAGE(D161:D181)</f>
        <v>5.0476190476190474</v>
      </c>
      <c r="V165">
        <f ca="1">_xlfn.STDEV.S(D161:D181)</f>
        <v>1.4654757069358222</v>
      </c>
    </row>
    <row r="166" spans="3:31" x14ac:dyDescent="0.3">
      <c r="C166" s="2" t="s">
        <v>290</v>
      </c>
      <c r="D166" s="37" cm="1">
        <f t="array" aca="1" ref="D166" ca="1">INDIRECT("'" &amp; C166 &amp; "'!$E$43")</f>
        <v>5</v>
      </c>
      <c r="E166" s="37" cm="1">
        <f t="array" aca="1" ref="E166" ca="1">INDIRECT("'" &amp; C166 &amp; "'!$F$43")</f>
        <v>7</v>
      </c>
      <c r="G166" t="s">
        <v>303</v>
      </c>
      <c r="H166" s="65">
        <f ca="1">MEDIAN(D161:D181)</f>
        <v>5</v>
      </c>
      <c r="J166" t="s">
        <v>334</v>
      </c>
      <c r="K166">
        <v>0.05</v>
      </c>
      <c r="M166" t="s">
        <v>303</v>
      </c>
      <c r="N166" s="65">
        <f ca="1">MEDIAN(E161:E181)</f>
        <v>6</v>
      </c>
      <c r="P166" t="s">
        <v>334</v>
      </c>
      <c r="Q166">
        <v>0.05</v>
      </c>
      <c r="S166" t="s">
        <v>380</v>
      </c>
      <c r="T166">
        <f ca="1">COUNT(E161:E181)</f>
        <v>21</v>
      </c>
      <c r="U166" s="65">
        <f ca="1">AVERAGE(E161:E181)</f>
        <v>5.7619047619047619</v>
      </c>
      <c r="V166">
        <f ca="1">_xlfn.STDEV.S(E161:E181)</f>
        <v>1.1791845447071432</v>
      </c>
      <c r="AC166" t="s">
        <v>360</v>
      </c>
      <c r="AD166" s="88">
        <f ca="1">SUMPRODUCT(--ISNUMBER(D161:D181),--ISNUMBER(E161:E181))</f>
        <v>21</v>
      </c>
    </row>
    <row r="167" spans="3:31" x14ac:dyDescent="0.3">
      <c r="C167" s="2" t="s">
        <v>291</v>
      </c>
      <c r="D167" s="37" cm="1">
        <f t="array" aca="1" ref="D167" ca="1">INDIRECT("'" &amp; C167 &amp; "'!$E$43")</f>
        <v>5</v>
      </c>
      <c r="E167" s="37" cm="1">
        <f t="array" aca="1" ref="E167" ca="1">INDIRECT("'" &amp; C167 &amp; "'!$F$43")</f>
        <v>7</v>
      </c>
      <c r="G167" t="s">
        <v>304</v>
      </c>
      <c r="H167">
        <f ca="1">MODE(D161:D181)</f>
        <v>5</v>
      </c>
      <c r="J167" s="63" t="s">
        <v>335</v>
      </c>
      <c r="K167" s="66" t="str">
        <f ca="1">IF(K165&lt;K166,"no","yes")</f>
        <v>no</v>
      </c>
      <c r="M167" t="s">
        <v>304</v>
      </c>
      <c r="N167">
        <f ca="1">MODE(E161:E181)</f>
        <v>6</v>
      </c>
      <c r="P167" s="63" t="s">
        <v>335</v>
      </c>
      <c r="Q167" s="66" t="str">
        <f ca="1">IF(Q165&lt;Q166,"no","yes")</f>
        <v>no</v>
      </c>
      <c r="S167" s="85" t="s">
        <v>349</v>
      </c>
      <c r="T167" s="85">
        <f ca="1">T166</f>
        <v>21</v>
      </c>
      <c r="U167" s="100">
        <f ca="1">U165-U166</f>
        <v>-0.71428571428571441</v>
      </c>
      <c r="V167" s="85">
        <f t="array" aca="1" ref="V167" ca="1">_xlfn.STDEV.S(D161:D181-E161:E181)</f>
        <v>1.2305631695633159</v>
      </c>
      <c r="W167" s="85">
        <f ca="1">V167/SQRT(T167)</f>
        <v>0.26853089866422258</v>
      </c>
      <c r="X167" s="85">
        <f ca="1">(U165-U166-Z163)/W167</f>
        <v>-2.6599758829946576</v>
      </c>
      <c r="Y167" s="85">
        <f ca="1">T167-1</f>
        <v>20</v>
      </c>
      <c r="Z167" s="85">
        <f ca="1">ABS(U165-U166-Z163)/V167</f>
        <v>0.58045432526571517</v>
      </c>
      <c r="AA167" s="85">
        <f ca="1">SQRT(X167^2/(X167^2+Y167))</f>
        <v>0.5111986324432477</v>
      </c>
      <c r="AC167" t="s">
        <v>361</v>
      </c>
      <c r="AD167" s="74">
        <f ca="1">SUMPRODUCT(--ISNUMBER(D161:D181),--ISNUMBER(E161:E181),--(D161:D181&lt;&gt;E161:E181))</f>
        <v>9</v>
      </c>
    </row>
    <row r="168" spans="3:31" x14ac:dyDescent="0.3">
      <c r="C168" s="2" t="s">
        <v>292</v>
      </c>
      <c r="D168" s="37" cm="1">
        <f t="array" aca="1" ref="D168" ca="1">INDIRECT("'" &amp; C168 &amp; "'!$E$43")</f>
        <v>7</v>
      </c>
      <c r="E168" s="37" cm="1">
        <f t="array" aca="1" ref="E168" ca="1">INDIRECT("'" &amp; C168 &amp; "'!$F$43")</f>
        <v>7</v>
      </c>
      <c r="G168" t="s">
        <v>305</v>
      </c>
      <c r="H168">
        <f ca="1">_xlfn.STDEV.S(D161:D181)</f>
        <v>1.4654757069358222</v>
      </c>
      <c r="M168" t="s">
        <v>305</v>
      </c>
      <c r="N168">
        <f ca="1">_xlfn.STDEV.S(E161:E181)</f>
        <v>1.1791845447071432</v>
      </c>
      <c r="AC168" t="s">
        <v>362</v>
      </c>
      <c r="AD168" s="74">
        <f ca="1">IF(AD170&lt;=AD173,AD170,AD167*(AD167+1)/2)</f>
        <v>2.5</v>
      </c>
    </row>
    <row r="169" spans="3:31" ht="15" thickBot="1" x14ac:dyDescent="0.35">
      <c r="C169" s="2" t="s">
        <v>293</v>
      </c>
      <c r="D169" s="37" cm="1">
        <f t="array" aca="1" ref="D169" ca="1">INDIRECT("'" &amp; C169 &amp; "'!$E$43")</f>
        <v>7</v>
      </c>
      <c r="E169" s="37" cm="1">
        <f t="array" aca="1" ref="E169" ca="1">INDIRECT("'" &amp; C169 &amp; "'!$F$43")</f>
        <v>7</v>
      </c>
      <c r="G169" t="s">
        <v>306</v>
      </c>
      <c r="H169">
        <f ca="1">_xlfn.VAR.S(D161:D181)</f>
        <v>2.147619047619048</v>
      </c>
      <c r="J169" t="s">
        <v>336</v>
      </c>
      <c r="M169" t="s">
        <v>306</v>
      </c>
      <c r="N169">
        <f ca="1">_xlfn.VAR.S(E161:E181)</f>
        <v>1.3904761904761926</v>
      </c>
      <c r="P169" t="s">
        <v>336</v>
      </c>
      <c r="S169" t="s">
        <v>350</v>
      </c>
      <c r="AC169" t="s">
        <v>363</v>
      </c>
      <c r="AD169" s="74">
        <f ca="1">AD167*(AD167+1)/2-AD168</f>
        <v>42.5</v>
      </c>
    </row>
    <row r="170" spans="3:31" ht="15" thickTop="1" x14ac:dyDescent="0.3">
      <c r="C170" s="2" t="s">
        <v>294</v>
      </c>
      <c r="D170" s="37" cm="1">
        <f t="array" aca="1" ref="D170" ca="1">INDIRECT("'" &amp; C170 &amp; "'!$E$43")</f>
        <v>6</v>
      </c>
      <c r="E170" s="37" cm="1">
        <f t="array" aca="1" ref="E170" ca="1">INDIRECT("'" &amp; C170 &amp; "'!$F$43")</f>
        <v>7</v>
      </c>
      <c r="G170" t="s">
        <v>307</v>
      </c>
      <c r="H170">
        <f ca="1">KURT(D161:D181)</f>
        <v>0.23132163869193789</v>
      </c>
      <c r="M170" t="s">
        <v>307</v>
      </c>
      <c r="N170">
        <f ca="1">KURT(E161:E181)</f>
        <v>1.1091001570354879</v>
      </c>
      <c r="S170" s="68" t="s">
        <v>351</v>
      </c>
      <c r="T170" s="68" t="s">
        <v>333</v>
      </c>
      <c r="U170" s="68" t="s">
        <v>352</v>
      </c>
      <c r="V170" s="68" t="s">
        <v>353</v>
      </c>
      <c r="W170" s="68" t="s">
        <v>354</v>
      </c>
      <c r="X170" s="68" t="s">
        <v>355</v>
      </c>
      <c r="AC170" t="s">
        <v>364</v>
      </c>
      <c r="AD170" s="75">
        <f ca="1">[1]!SRANK(D161:D181,E161:E181)</f>
        <v>2.5</v>
      </c>
    </row>
    <row r="171" spans="3:31" x14ac:dyDescent="0.3">
      <c r="C171" s="2" t="s">
        <v>295</v>
      </c>
      <c r="D171" s="37" cm="1">
        <f t="array" aca="1" ref="D171" ca="1">INDIRECT("'" &amp; C171 &amp; "'!$E$43")</f>
        <v>3</v>
      </c>
      <c r="E171" s="37" cm="1">
        <f t="array" aca="1" ref="E171" ca="1">INDIRECT("'" &amp; C171 &amp; "'!$F$43")</f>
        <v>3</v>
      </c>
      <c r="G171" t="s">
        <v>308</v>
      </c>
      <c r="H171">
        <f ca="1">SKEW(D161:D181)</f>
        <v>-0.82770188848036375</v>
      </c>
      <c r="J171" s="85" t="s">
        <v>337</v>
      </c>
      <c r="K171" s="85">
        <f ca="1">[1]!DAGOSTINO(D161:D181)</f>
        <v>2.9920219805181811</v>
      </c>
      <c r="M171" t="s">
        <v>308</v>
      </c>
      <c r="N171">
        <f ca="1">SKEW(E161:E181)</f>
        <v>-1.107287024813516</v>
      </c>
      <c r="P171" s="85" t="s">
        <v>337</v>
      </c>
      <c r="Q171" s="85">
        <f ca="1">[1]!DAGOSTINO(E161:E181)</f>
        <v>6.0649090662455105</v>
      </c>
      <c r="S171" t="s">
        <v>356</v>
      </c>
      <c r="T171">
        <f ca="1">_xlfn.T.DIST.RT(ABS(X167),Y167)</f>
        <v>7.5180985598311432E-3</v>
      </c>
      <c r="U171">
        <f ca="1">_xlfn.T.INV.2T(W163*2,Y167)</f>
        <v>1.7247182429207868</v>
      </c>
      <c r="X171" s="70" t="str">
        <f ca="1">IF(T171&lt;W163,"yes","no")</f>
        <v>yes</v>
      </c>
    </row>
    <row r="172" spans="3:31" x14ac:dyDescent="0.3">
      <c r="C172" s="2" t="s">
        <v>296</v>
      </c>
      <c r="D172" s="37" cm="1">
        <f t="array" aca="1" ref="D172" ca="1">INDIRECT("'" &amp; C172 &amp; "'!$E$43")</f>
        <v>3</v>
      </c>
      <c r="E172" s="37" cm="1">
        <f t="array" aca="1" ref="E172" ca="1">INDIRECT("'" &amp; C172 &amp; "'!$F$43")</f>
        <v>6</v>
      </c>
      <c r="G172" t="s">
        <v>309</v>
      </c>
      <c r="H172">
        <f ca="1">H173-H174</f>
        <v>5</v>
      </c>
      <c r="J172" t="s">
        <v>333</v>
      </c>
      <c r="K172">
        <f ca="1">[1]!DPTEST(D161:D181)</f>
        <v>0.22402200613932288</v>
      </c>
      <c r="M172" t="s">
        <v>309</v>
      </c>
      <c r="N172">
        <f ca="1">N173-N174</f>
        <v>4</v>
      </c>
      <c r="P172" t="s">
        <v>333</v>
      </c>
      <c r="Q172">
        <f ca="1">[1]!DPTEST(E161:E181)</f>
        <v>4.8197191217338231E-2</v>
      </c>
      <c r="S172" t="s">
        <v>357</v>
      </c>
      <c r="T172">
        <f ca="1">_xlfn.T.DIST.2T(ABS(X167),Y167)</f>
        <v>1.5036197119662286E-2</v>
      </c>
      <c r="U172">
        <f ca="1">_xlfn.T.INV.2T(W163,Y167)</f>
        <v>2.0859634472658648</v>
      </c>
      <c r="V172">
        <f ca="1">(U165-U166)-W167*U172</f>
        <v>-1.2744313533607368</v>
      </c>
      <c r="W172">
        <f ca="1">(U165-U166)+W167*U172</f>
        <v>-0.15414007521069206</v>
      </c>
      <c r="X172" s="70" t="str">
        <f ca="1">IF(T172&lt;W163,"yes","no")</f>
        <v>yes</v>
      </c>
      <c r="AD172" s="70" t="s">
        <v>365</v>
      </c>
      <c r="AE172" s="70" t="s">
        <v>366</v>
      </c>
    </row>
    <row r="173" spans="3:31" x14ac:dyDescent="0.3">
      <c r="C173" s="2" t="s">
        <v>297</v>
      </c>
      <c r="D173" s="37" cm="1">
        <f t="array" aca="1" ref="D173" ca="1">INDIRECT("'" &amp; C173 &amp; "'!$E$43")</f>
        <v>6</v>
      </c>
      <c r="E173" s="37" cm="1">
        <f t="array" aca="1" ref="E173" ca="1">INDIRECT("'" &amp; C173 &amp; "'!$F$43")</f>
        <v>6</v>
      </c>
      <c r="G173" t="s">
        <v>310</v>
      </c>
      <c r="H173" s="65">
        <f ca="1">MAX(D161:D181)</f>
        <v>7</v>
      </c>
      <c r="J173" t="s">
        <v>334</v>
      </c>
      <c r="K173">
        <v>0.05</v>
      </c>
      <c r="M173" t="s">
        <v>310</v>
      </c>
      <c r="N173" s="65">
        <f ca="1">MAX(E161:E181)</f>
        <v>7</v>
      </c>
      <c r="P173" t="s">
        <v>334</v>
      </c>
      <c r="Q173">
        <v>0.05</v>
      </c>
      <c r="S173" s="85"/>
      <c r="T173" s="85"/>
      <c r="U173" s="85"/>
      <c r="V173" s="85"/>
      <c r="W173" s="85"/>
      <c r="X173" s="85"/>
      <c r="AC173" t="s">
        <v>367</v>
      </c>
      <c r="AD173" s="88">
        <f ca="1">AD167*(AD167+1)/4</f>
        <v>22.5</v>
      </c>
    </row>
    <row r="174" spans="3:31" x14ac:dyDescent="0.3">
      <c r="C174" s="2" t="s">
        <v>298</v>
      </c>
      <c r="D174" s="37" cm="1">
        <f t="array" aca="1" ref="D174" ca="1">INDIRECT("'" &amp; C174 &amp; "'!$E$43")</f>
        <v>5</v>
      </c>
      <c r="E174" s="37" cm="1">
        <f t="array" aca="1" ref="E174" ca="1">INDIRECT("'" &amp; C174 &amp; "'!$F$43")</f>
        <v>5</v>
      </c>
      <c r="G174" t="s">
        <v>311</v>
      </c>
      <c r="H174" s="65">
        <f ca="1">MIN(D161:D181)</f>
        <v>2</v>
      </c>
      <c r="J174" s="63" t="s">
        <v>335</v>
      </c>
      <c r="K174" s="66" t="str">
        <f ca="1">IF(K172&lt;K173,"no","yes")</f>
        <v>yes</v>
      </c>
      <c r="M174" t="s">
        <v>311</v>
      </c>
      <c r="N174" s="65">
        <f ca="1">MIN(E161:E181)</f>
        <v>3</v>
      </c>
      <c r="P174" s="63" t="s">
        <v>335</v>
      </c>
      <c r="Q174" s="66" t="str">
        <f ca="1">IF(Q172&lt;Q173,"no","yes")</f>
        <v>no</v>
      </c>
      <c r="AC174" t="s">
        <v>368</v>
      </c>
      <c r="AD174" s="74">
        <f ca="1">SQRT(AD173*(2*AD167+1)/6-[1]!TiesCorrection(D161:D181,E161:E181,1)/48)</f>
        <v>8.3366660002665327</v>
      </c>
      <c r="AE174" t="s">
        <v>369</v>
      </c>
    </row>
    <row r="175" spans="3:31" x14ac:dyDescent="0.3">
      <c r="C175" s="2" t="s">
        <v>299</v>
      </c>
      <c r="D175" s="37" cm="1">
        <f t="array" aca="1" ref="D175" ca="1">INDIRECT("'" &amp; C175 &amp; "'!$E$43")</f>
        <v>2</v>
      </c>
      <c r="E175" s="37" cm="1">
        <f t="array" aca="1" ref="E175" ca="1">INDIRECT("'" &amp; C175 &amp; "'!$F$43")</f>
        <v>3</v>
      </c>
      <c r="G175" t="s">
        <v>312</v>
      </c>
      <c r="H175" s="65">
        <f ca="1">SUM(D161:D181)</f>
        <v>106</v>
      </c>
      <c r="M175" t="s">
        <v>312</v>
      </c>
      <c r="N175" s="65">
        <f ca="1">SUM(E161:E181)</f>
        <v>121</v>
      </c>
      <c r="AC175" t="s">
        <v>370</v>
      </c>
      <c r="AD175" s="74">
        <f ca="1">ABS(ABS(AD170-AD173)-1/2)/AD174</f>
        <v>2.3390645612258623</v>
      </c>
      <c r="AE175" t="s">
        <v>371</v>
      </c>
    </row>
    <row r="176" spans="3:31" x14ac:dyDescent="0.3">
      <c r="C176" s="2" t="s">
        <v>395</v>
      </c>
      <c r="D176" s="37" cm="1">
        <f t="array" aca="1" ref="D176" ca="1">INDIRECT("'" &amp; C176 &amp; "'!$E$43")</f>
        <v>5</v>
      </c>
      <c r="E176" s="37" cm="1">
        <f t="array" aca="1" ref="E176" ca="1">INDIRECT("'" &amp; C176 &amp; "'!$F$43")</f>
        <v>5</v>
      </c>
      <c r="G176" t="s">
        <v>313</v>
      </c>
      <c r="H176">
        <f ca="1">COUNT(D161:D181)</f>
        <v>21</v>
      </c>
      <c r="M176" t="s">
        <v>313</v>
      </c>
      <c r="N176">
        <f ca="1">COUNT(E161:E181)</f>
        <v>21</v>
      </c>
      <c r="AC176" t="s">
        <v>372</v>
      </c>
      <c r="AD176" s="74">
        <f ca="1">AD175/SQRT(AD167)</f>
        <v>0.77968818707528742</v>
      </c>
    </row>
    <row r="177" spans="3:31" x14ac:dyDescent="0.3">
      <c r="C177" s="2" t="s">
        <v>396</v>
      </c>
      <c r="D177" s="37" cm="1">
        <f t="array" aca="1" ref="D177" ca="1">INDIRECT("'" &amp; C177 &amp; "'!$E$43")</f>
        <v>6</v>
      </c>
      <c r="E177" s="37" cm="1">
        <f t="array" aca="1" ref="E177" ca="1">INDIRECT("'" &amp; C177 &amp; "'!$F$43")</f>
        <v>6</v>
      </c>
      <c r="G177" t="s">
        <v>314</v>
      </c>
      <c r="H177">
        <f ca="1">GEOMEAN(D161:D181)</f>
        <v>4.7826721901098184</v>
      </c>
      <c r="M177" t="s">
        <v>314</v>
      </c>
      <c r="N177">
        <f ca="1">GEOMEAN(E161:E181)</f>
        <v>5.6202638372656093</v>
      </c>
      <c r="AC177" t="s">
        <v>373</v>
      </c>
      <c r="AD177" s="88">
        <f ca="1">1-_xlfn.NORM.S.DIST(AD175,TRUE)</f>
        <v>9.6660462179374296E-3</v>
      </c>
      <c r="AE177" s="104">
        <f ca="1">2*AD177</f>
        <v>1.9332092435874859E-2</v>
      </c>
    </row>
    <row r="178" spans="3:31" x14ac:dyDescent="0.3">
      <c r="C178" s="2" t="s">
        <v>397</v>
      </c>
      <c r="D178" s="37" cm="1">
        <f t="array" aca="1" ref="D178" ca="1">INDIRECT("'" &amp; C178 &amp; "'!$E$43")</f>
        <v>6</v>
      </c>
      <c r="E178" s="37" cm="1">
        <f t="array" aca="1" ref="E178" ca="1">INDIRECT("'" &amp; C178 &amp; "'!$F$43")</f>
        <v>6</v>
      </c>
      <c r="G178" t="s">
        <v>315</v>
      </c>
      <c r="H178">
        <f ca="1">HARMEAN(D161:D181)</f>
        <v>4.4410876132930515</v>
      </c>
      <c r="M178" t="s">
        <v>315</v>
      </c>
      <c r="N178">
        <f ca="1">HARMEAN(E161:E181)</f>
        <v>5.4444444444444446</v>
      </c>
      <c r="AC178" t="s">
        <v>374</v>
      </c>
      <c r="AD178" s="74">
        <f ca="1">[1]!SRDIST(AD170,AD167,1)</f>
        <v>5.859375E-3</v>
      </c>
      <c r="AE178" s="77">
        <f ca="1">2*AD178</f>
        <v>1.171875E-2</v>
      </c>
    </row>
    <row r="179" spans="3:31" x14ac:dyDescent="0.3">
      <c r="C179" s="2" t="s">
        <v>398</v>
      </c>
      <c r="D179" s="37" cm="1">
        <f t="array" aca="1" ref="D179" ca="1">INDIRECT("'" &amp; C179 &amp; "'!$E$43")</f>
        <v>5</v>
      </c>
      <c r="E179" s="37" cm="1">
        <f t="array" aca="1" ref="E179" ca="1">INDIRECT("'" &amp; C179 &amp; "'!$F$43")</f>
        <v>6</v>
      </c>
      <c r="G179" t="s">
        <v>316</v>
      </c>
      <c r="H179">
        <f ca="1">AVEDEV(D161:D181)</f>
        <v>1.0113378684807255</v>
      </c>
      <c r="M179" t="s">
        <v>316</v>
      </c>
      <c r="N179">
        <f ca="1">AVEDEV(E161:E181)</f>
        <v>0.88888888888888873</v>
      </c>
      <c r="AC179" t="s">
        <v>375</v>
      </c>
      <c r="AD179" s="75" t="s">
        <v>376</v>
      </c>
      <c r="AE179" s="78" t="s">
        <v>376</v>
      </c>
    </row>
    <row r="180" spans="3:31" x14ac:dyDescent="0.3">
      <c r="C180" s="2" t="s">
        <v>399</v>
      </c>
      <c r="D180" s="37" cm="1">
        <f t="array" aca="1" ref="D180" ca="1">INDIRECT("'" &amp; C180 &amp; "'!$E$43")</f>
        <v>2</v>
      </c>
      <c r="E180" s="37" cm="1">
        <f t="array" aca="1" ref="E180" ca="1">INDIRECT("'" &amp; C180 &amp; "'!$F$43")</f>
        <v>6</v>
      </c>
      <c r="G180" t="s">
        <v>317</v>
      </c>
      <c r="H180">
        <f ca="1">[1]!MAD(D161:D181)</f>
        <v>1</v>
      </c>
      <c r="M180" t="s">
        <v>317</v>
      </c>
      <c r="N180">
        <f ca="1">[1]!MAD(E161:E181)</f>
        <v>1</v>
      </c>
    </row>
    <row r="181" spans="3:31" x14ac:dyDescent="0.3">
      <c r="C181" s="2" t="s">
        <v>400</v>
      </c>
      <c r="D181" s="37" cm="1">
        <f t="array" aca="1" ref="D181" ca="1">INDIRECT("'" &amp; C181 &amp; "'!$E$43")</f>
        <v>5</v>
      </c>
      <c r="E181" s="37" cm="1">
        <f t="array" aca="1" ref="E181" ca="1">INDIRECT("'" &amp; C181 &amp; "'!$F$43")</f>
        <v>5</v>
      </c>
      <c r="G181" s="63" t="s">
        <v>318</v>
      </c>
      <c r="H181" s="63">
        <f ca="1">[1]!IQR(D161:D181,FALSE)</f>
        <v>1</v>
      </c>
      <c r="M181" s="63" t="s">
        <v>318</v>
      </c>
      <c r="N181" s="63">
        <f ca="1">[1]!IQR(E161:E181,FALSE)</f>
        <v>2</v>
      </c>
    </row>
    <row r="185" spans="3:31" x14ac:dyDescent="0.3">
      <c r="C185" s="2"/>
      <c r="D185" s="59" t="s">
        <v>79</v>
      </c>
      <c r="E185" s="2"/>
    </row>
    <row r="186" spans="3:31" x14ac:dyDescent="0.3">
      <c r="C186" s="2"/>
      <c r="D186" s="2"/>
      <c r="E186" s="2"/>
    </row>
    <row r="187" spans="3:31" x14ac:dyDescent="0.3">
      <c r="C187" s="2" t="s">
        <v>285</v>
      </c>
      <c r="D187" s="37" cm="1">
        <f t="array" aca="1" ref="D187" ca="1">INDIRECT("'" &amp; C187 &amp; "'!$E$44")</f>
        <v>3</v>
      </c>
      <c r="E187" s="37" cm="1">
        <f t="array" aca="1" ref="E187" ca="1">INDIRECT("'" &amp; C187 &amp; "'!$F$44")</f>
        <v>4</v>
      </c>
      <c r="G187" t="s">
        <v>300</v>
      </c>
      <c r="J187" t="s">
        <v>331</v>
      </c>
      <c r="M187" t="s">
        <v>300</v>
      </c>
      <c r="P187" t="s">
        <v>331</v>
      </c>
      <c r="S187" t="s">
        <v>338</v>
      </c>
      <c r="AC187" t="s">
        <v>358</v>
      </c>
    </row>
    <row r="188" spans="3:31" x14ac:dyDescent="0.3">
      <c r="C188" s="2" t="s">
        <v>286</v>
      </c>
      <c r="D188" s="37" cm="1">
        <f t="array" aca="1" ref="D188" ca="1">INDIRECT("'" &amp; C188 &amp; "'!$E$44")</f>
        <v>2</v>
      </c>
      <c r="E188" s="37" cm="1">
        <f t="array" aca="1" ref="E188" ca="1">INDIRECT("'" &amp; C188 &amp; "'!$F$44")</f>
        <v>3</v>
      </c>
    </row>
    <row r="189" spans="3:31" ht="15" thickBot="1" x14ac:dyDescent="0.35">
      <c r="C189" s="2" t="s">
        <v>287</v>
      </c>
      <c r="D189" s="37" cm="1">
        <f t="array" aca="1" ref="D189" ca="1">INDIRECT("'" &amp; C189 &amp; "'!$E$44")</f>
        <v>6</v>
      </c>
      <c r="E189" s="37" cm="1">
        <f t="array" aca="1" ref="E189" ca="1">INDIRECT("'" &amp; C189 &amp; "'!$F$44")</f>
        <v>6</v>
      </c>
      <c r="G189" s="64"/>
      <c r="H189" s="64" t="s">
        <v>379</v>
      </c>
      <c r="J189" s="64"/>
      <c r="K189" s="64" t="s">
        <v>379</v>
      </c>
      <c r="M189" s="64"/>
      <c r="N189" s="64" t="s">
        <v>379</v>
      </c>
      <c r="P189" s="64"/>
      <c r="Q189" s="64" t="s">
        <v>379</v>
      </c>
      <c r="S189" t="s">
        <v>339</v>
      </c>
      <c r="V189" t="s">
        <v>340</v>
      </c>
      <c r="W189">
        <v>0.05</v>
      </c>
      <c r="Y189" t="s">
        <v>341</v>
      </c>
      <c r="Z189">
        <v>0</v>
      </c>
      <c r="AD189" t="s">
        <v>381</v>
      </c>
      <c r="AE189" t="s">
        <v>382</v>
      </c>
    </row>
    <row r="190" spans="3:31" ht="15" thickTop="1" x14ac:dyDescent="0.3">
      <c r="C190" s="2" t="s">
        <v>288</v>
      </c>
      <c r="D190" s="37" cm="1">
        <f t="array" aca="1" ref="D190" ca="1">INDIRECT("'" &amp; C190 &amp; "'!$E$44")</f>
        <v>4</v>
      </c>
      <c r="E190" s="37" cm="1">
        <f t="array" aca="1" ref="E190" ca="1">INDIRECT("'" &amp; C190 &amp; "'!$F$44")</f>
        <v>4</v>
      </c>
      <c r="G190" t="s">
        <v>301</v>
      </c>
      <c r="H190" s="65">
        <f ca="1">AVERAGE(D187:D207)</f>
        <v>3.7142857142857144</v>
      </c>
      <c r="J190" t="s">
        <v>332</v>
      </c>
      <c r="K190">
        <f ca="1">[1]!SHAPIRO(D187:D207)</f>
        <v>0.94875504760862739</v>
      </c>
      <c r="M190" t="s">
        <v>301</v>
      </c>
      <c r="N190" s="65">
        <f ca="1">AVERAGE(E187:E207)</f>
        <v>4.0952380952380949</v>
      </c>
      <c r="P190" t="s">
        <v>332</v>
      </c>
      <c r="Q190">
        <f ca="1">[1]!SHAPIRO(E187:E207)</f>
        <v>0.96078935463721538</v>
      </c>
      <c r="S190" s="68" t="s">
        <v>342</v>
      </c>
      <c r="T190" s="68" t="s">
        <v>313</v>
      </c>
      <c r="U190" s="68" t="s">
        <v>301</v>
      </c>
      <c r="V190" s="68" t="s">
        <v>343</v>
      </c>
      <c r="W190" s="68" t="s">
        <v>344</v>
      </c>
      <c r="X190" s="68" t="s">
        <v>345</v>
      </c>
      <c r="Y190" s="68" t="s">
        <v>346</v>
      </c>
      <c r="Z190" s="68" t="s">
        <v>347</v>
      </c>
      <c r="AA190" s="68" t="s">
        <v>348</v>
      </c>
      <c r="AC190" t="s">
        <v>359</v>
      </c>
      <c r="AD190" s="102">
        <f ca="1">MEDIAN(D187:D207)</f>
        <v>4</v>
      </c>
      <c r="AE190" s="103">
        <f ca="1">MEDIAN(E187:E207)</f>
        <v>4</v>
      </c>
    </row>
    <row r="191" spans="3:31" x14ac:dyDescent="0.3">
      <c r="C191" s="2" t="s">
        <v>289</v>
      </c>
      <c r="D191" s="37" cm="1">
        <f t="array" aca="1" ref="D191" ca="1">INDIRECT("'" &amp; C191 &amp; "'!$E$44")</f>
        <v>4</v>
      </c>
      <c r="E191" s="37" cm="1">
        <f t="array" aca="1" ref="E191" ca="1">INDIRECT("'" &amp; C191 &amp; "'!$F$44")</f>
        <v>5</v>
      </c>
      <c r="G191" t="s">
        <v>302</v>
      </c>
      <c r="H191">
        <f ca="1">_xlfn.STDEV.S(D187:D207)/SQRT(COUNT(D187:D207))</f>
        <v>0.32471861183299655</v>
      </c>
      <c r="J191" t="s">
        <v>333</v>
      </c>
      <c r="K191">
        <f ca="1">[1]!SWTEST(D187:D207)</f>
        <v>0.32260961772396757</v>
      </c>
      <c r="M191" t="s">
        <v>302</v>
      </c>
      <c r="N191">
        <f ca="1">_xlfn.STDEV.S(E187:E207)/SQRT(COUNT(E187:E207))</f>
        <v>0.30787104524275449</v>
      </c>
      <c r="P191" t="s">
        <v>333</v>
      </c>
      <c r="Q191">
        <f ca="1">[1]!SWTEST(E187:E207)</f>
        <v>0.53216890596426003</v>
      </c>
      <c r="S191" t="s">
        <v>379</v>
      </c>
      <c r="T191">
        <f ca="1">COUNT(D187:D207)</f>
        <v>21</v>
      </c>
      <c r="U191" s="65">
        <f ca="1">AVERAGE(D187:D207)</f>
        <v>3.7142857142857144</v>
      </c>
      <c r="V191">
        <f ca="1">_xlfn.STDEV.S(D187:D207)</f>
        <v>1.4880476182856899</v>
      </c>
    </row>
    <row r="192" spans="3:31" x14ac:dyDescent="0.3">
      <c r="C192" s="2" t="s">
        <v>290</v>
      </c>
      <c r="D192" s="37" cm="1">
        <f t="array" aca="1" ref="D192" ca="1">INDIRECT("'" &amp; C192 &amp; "'!$E$44")</f>
        <v>4</v>
      </c>
      <c r="E192" s="37" cm="1">
        <f t="array" aca="1" ref="E192" ca="1">INDIRECT("'" &amp; C192 &amp; "'!$F$44")</f>
        <v>4</v>
      </c>
      <c r="G192" t="s">
        <v>303</v>
      </c>
      <c r="H192" s="65">
        <f ca="1">MEDIAN(D187:D207)</f>
        <v>4</v>
      </c>
      <c r="J192" t="s">
        <v>334</v>
      </c>
      <c r="K192">
        <v>0.05</v>
      </c>
      <c r="M192" t="s">
        <v>303</v>
      </c>
      <c r="N192" s="65">
        <f ca="1">MEDIAN(E187:E207)</f>
        <v>4</v>
      </c>
      <c r="P192" t="s">
        <v>334</v>
      </c>
      <c r="Q192">
        <v>0.05</v>
      </c>
      <c r="S192" t="s">
        <v>380</v>
      </c>
      <c r="T192">
        <f ca="1">COUNT(E187:E207)</f>
        <v>21</v>
      </c>
      <c r="U192" s="65">
        <f ca="1">AVERAGE(E187:E207)</f>
        <v>4.0952380952380949</v>
      </c>
      <c r="V192">
        <f ca="1">_xlfn.STDEV.S(E187:E207)</f>
        <v>1.4108423691100964</v>
      </c>
      <c r="AC192" t="s">
        <v>360</v>
      </c>
      <c r="AD192" s="88">
        <f ca="1">SUMPRODUCT(--ISNUMBER(D187:D207),--ISNUMBER(E187:E207))</f>
        <v>21</v>
      </c>
    </row>
    <row r="193" spans="3:31" x14ac:dyDescent="0.3">
      <c r="C193" s="2" t="s">
        <v>291</v>
      </c>
      <c r="D193" s="37" cm="1">
        <f t="array" aca="1" ref="D193" ca="1">INDIRECT("'" &amp; C193 &amp; "'!$E$44")</f>
        <v>7</v>
      </c>
      <c r="E193" s="37" cm="1">
        <f t="array" aca="1" ref="E193" ca="1">INDIRECT("'" &amp; C193 &amp; "'!$F$44")</f>
        <v>7</v>
      </c>
      <c r="G193" t="s">
        <v>304</v>
      </c>
      <c r="H193">
        <f ca="1">MODE(D187:D207)</f>
        <v>3</v>
      </c>
      <c r="J193" s="63" t="s">
        <v>335</v>
      </c>
      <c r="K193" s="66" t="str">
        <f ca="1">IF(K191&lt;K192,"no","yes")</f>
        <v>yes</v>
      </c>
      <c r="M193" t="s">
        <v>304</v>
      </c>
      <c r="N193">
        <f ca="1">MODE(E187:E207)</f>
        <v>4</v>
      </c>
      <c r="P193" s="63" t="s">
        <v>335</v>
      </c>
      <c r="Q193" s="66" t="str">
        <f ca="1">IF(Q191&lt;Q192,"no","yes")</f>
        <v>yes</v>
      </c>
      <c r="S193" s="85" t="s">
        <v>349</v>
      </c>
      <c r="T193" s="85">
        <f ca="1">T192</f>
        <v>21</v>
      </c>
      <c r="U193" s="100">
        <f ca="1">U191-U192</f>
        <v>-0.38095238095238049</v>
      </c>
      <c r="V193" s="85">
        <f t="array" aca="1" ref="V193" ca="1">_xlfn.STDEV.S(D187:D207-E187:E207)</f>
        <v>0.80474781616295654</v>
      </c>
      <c r="W193" s="85">
        <f ca="1">V193/SQRT(T193)</f>
        <v>0.17561037061510262</v>
      </c>
      <c r="X193" s="85">
        <f ca="1">(U191-U192-Z189)/W193</f>
        <v>-2.169304578186559</v>
      </c>
      <c r="Y193" s="85">
        <f ca="1">T193-1</f>
        <v>20</v>
      </c>
      <c r="Z193" s="85">
        <f ca="1">ABS(U191-U192-Z189)/V193</f>
        <v>0.47338106833115029</v>
      </c>
      <c r="AA193" s="85">
        <f ca="1">SQRT(X193^2/(X193^2+Y193))</f>
        <v>0.43643578047198428</v>
      </c>
      <c r="AC193" t="s">
        <v>361</v>
      </c>
      <c r="AD193" s="74">
        <f ca="1">SUMPRODUCT(--ISNUMBER(D187:D207),--ISNUMBER(E187:E207),--(D187:D207&lt;&gt;E187:E207))</f>
        <v>5</v>
      </c>
    </row>
    <row r="194" spans="3:31" x14ac:dyDescent="0.3">
      <c r="C194" s="2" t="s">
        <v>292</v>
      </c>
      <c r="D194" s="37" cm="1">
        <f t="array" aca="1" ref="D194" ca="1">INDIRECT("'" &amp; C194 &amp; "'!$E$44")</f>
        <v>6</v>
      </c>
      <c r="E194" s="37" cm="1">
        <f t="array" aca="1" ref="E194" ca="1">INDIRECT("'" &amp; C194 &amp; "'!$F$44")</f>
        <v>6</v>
      </c>
      <c r="G194" t="s">
        <v>305</v>
      </c>
      <c r="H194">
        <f ca="1">_xlfn.STDEV.S(D187:D207)</f>
        <v>1.4880476182856899</v>
      </c>
      <c r="M194" t="s">
        <v>305</v>
      </c>
      <c r="N194">
        <f ca="1">_xlfn.STDEV.S(E187:E207)</f>
        <v>1.4108423691100964</v>
      </c>
      <c r="AC194" t="s">
        <v>362</v>
      </c>
      <c r="AD194" s="74">
        <f ca="1">IF(AD196&lt;=AD199,AD196,AD193*(AD193+1)/2)</f>
        <v>0</v>
      </c>
    </row>
    <row r="195" spans="3:31" ht="15" thickBot="1" x14ac:dyDescent="0.35">
      <c r="C195" s="2" t="s">
        <v>293</v>
      </c>
      <c r="D195" s="37" cm="1">
        <f t="array" aca="1" ref="D195" ca="1">INDIRECT("'" &amp; C195 &amp; "'!$E$44")</f>
        <v>4</v>
      </c>
      <c r="E195" s="37" cm="1">
        <f t="array" aca="1" ref="E195" ca="1">INDIRECT("'" &amp; C195 &amp; "'!$F$44")</f>
        <v>4</v>
      </c>
      <c r="G195" t="s">
        <v>306</v>
      </c>
      <c r="H195">
        <f ca="1">_xlfn.VAR.S(D187:D207)</f>
        <v>2.214285714285714</v>
      </c>
      <c r="J195" t="s">
        <v>336</v>
      </c>
      <c r="M195" t="s">
        <v>306</v>
      </c>
      <c r="N195">
        <f ca="1">_xlfn.VAR.S(E187:E207)</f>
        <v>1.9904761904761898</v>
      </c>
      <c r="P195" t="s">
        <v>336</v>
      </c>
      <c r="S195" t="s">
        <v>350</v>
      </c>
      <c r="AC195" t="s">
        <v>363</v>
      </c>
      <c r="AD195" s="74">
        <f ca="1">AD193*(AD193+1)/2-AD194</f>
        <v>15</v>
      </c>
    </row>
    <row r="196" spans="3:31" ht="15" thickTop="1" x14ac:dyDescent="0.3">
      <c r="C196" s="2" t="s">
        <v>294</v>
      </c>
      <c r="D196" s="37" cm="1">
        <f t="array" aca="1" ref="D196" ca="1">INDIRECT("'" &amp; C196 &amp; "'!$E$44")</f>
        <v>5</v>
      </c>
      <c r="E196" s="37" cm="1">
        <f t="array" aca="1" ref="E196" ca="1">INDIRECT("'" &amp; C196 &amp; "'!$F$44")</f>
        <v>5</v>
      </c>
      <c r="G196" t="s">
        <v>307</v>
      </c>
      <c r="H196">
        <f ca="1">KURT(D187:D207)</f>
        <v>5.0860762728884623E-2</v>
      </c>
      <c r="M196" t="s">
        <v>307</v>
      </c>
      <c r="N196">
        <f ca="1">KURT(E187:E207)</f>
        <v>0.22684197272329598</v>
      </c>
      <c r="S196" s="68" t="s">
        <v>351</v>
      </c>
      <c r="T196" s="68" t="s">
        <v>333</v>
      </c>
      <c r="U196" s="68" t="s">
        <v>352</v>
      </c>
      <c r="V196" s="68" t="s">
        <v>353</v>
      </c>
      <c r="W196" s="68" t="s">
        <v>354</v>
      </c>
      <c r="X196" s="68" t="s">
        <v>355</v>
      </c>
      <c r="AC196" t="s">
        <v>364</v>
      </c>
      <c r="AD196" s="75">
        <f ca="1">[1]!SRANK(D187:D207,E187:E207)</f>
        <v>0</v>
      </c>
    </row>
    <row r="197" spans="3:31" x14ac:dyDescent="0.3">
      <c r="C197" s="2" t="s">
        <v>295</v>
      </c>
      <c r="D197" s="37" cm="1">
        <f t="array" aca="1" ref="D197" ca="1">INDIRECT("'" &amp; C197 &amp; "'!$E$44")</f>
        <v>2</v>
      </c>
      <c r="E197" s="37" cm="1">
        <f t="array" aca="1" ref="E197" ca="1">INDIRECT("'" &amp; C197 &amp; "'!$F$44")</f>
        <v>2</v>
      </c>
      <c r="G197" t="s">
        <v>308</v>
      </c>
      <c r="H197">
        <f ca="1">SKEW(D187:D207)</f>
        <v>0.4436026505204374</v>
      </c>
      <c r="J197" s="85" t="s">
        <v>337</v>
      </c>
      <c r="K197" s="85">
        <f ca="1">[1]!DAGOSTINO(D187:D207)</f>
        <v>0.93982571030117479</v>
      </c>
      <c r="M197" t="s">
        <v>308</v>
      </c>
      <c r="N197">
        <f ca="1">SKEW(E187:E207)</f>
        <v>-6.6756448166615592E-2</v>
      </c>
      <c r="P197" s="85" t="s">
        <v>337</v>
      </c>
      <c r="Q197" s="85">
        <f ca="1">[1]!DAGOSTINO(E187:E207)</f>
        <v>0.24453025312507082</v>
      </c>
      <c r="S197" t="s">
        <v>356</v>
      </c>
      <c r="T197">
        <f ca="1">_xlfn.T.DIST.RT(ABS(X193),Y193)</f>
        <v>2.1142794544094543E-2</v>
      </c>
      <c r="U197">
        <f ca="1">_xlfn.T.INV.2T(W189*2,Y193)</f>
        <v>1.7247182429207868</v>
      </c>
      <c r="X197" s="70" t="str">
        <f ca="1">IF(T197&lt;W189,"yes","no")</f>
        <v>yes</v>
      </c>
    </row>
    <row r="198" spans="3:31" x14ac:dyDescent="0.3">
      <c r="C198" s="2" t="s">
        <v>296</v>
      </c>
      <c r="D198" s="37" cm="1">
        <f t="array" aca="1" ref="D198" ca="1">INDIRECT("'" &amp; C198 &amp; "'!$E$44")</f>
        <v>2</v>
      </c>
      <c r="E198" s="37" cm="1">
        <f t="array" aca="1" ref="E198" ca="1">INDIRECT("'" &amp; C198 &amp; "'!$F$44")</f>
        <v>5</v>
      </c>
      <c r="G198" t="s">
        <v>309</v>
      </c>
      <c r="H198">
        <f ca="1">H199-H200</f>
        <v>6</v>
      </c>
      <c r="J198" t="s">
        <v>333</v>
      </c>
      <c r="K198">
        <f ca="1">[1]!DPTEST(D187:D207)</f>
        <v>0.62505673638452564</v>
      </c>
      <c r="M198" t="s">
        <v>309</v>
      </c>
      <c r="N198">
        <f ca="1">N199-N200</f>
        <v>6</v>
      </c>
      <c r="P198" t="s">
        <v>333</v>
      </c>
      <c r="Q198">
        <f ca="1">[1]!DPTEST(E187:E207)</f>
        <v>0.88491372326506923</v>
      </c>
      <c r="S198" t="s">
        <v>357</v>
      </c>
      <c r="T198">
        <f ca="1">_xlfn.T.DIST.2T(ABS(X193),Y193)</f>
        <v>4.2285589088189086E-2</v>
      </c>
      <c r="U198">
        <f ca="1">_xlfn.T.INV.2T(W189,Y193)</f>
        <v>2.0859634472658648</v>
      </c>
      <c r="V198">
        <f ca="1">(U191-U192)-W193*U198</f>
        <v>-0.74726919501629607</v>
      </c>
      <c r="W198">
        <f ca="1">(U191-U192)+W193*U198</f>
        <v>-1.4635566888464902E-2</v>
      </c>
      <c r="X198" s="70" t="str">
        <f ca="1">IF(T198&lt;W189,"yes","no")</f>
        <v>yes</v>
      </c>
      <c r="AD198" s="70" t="s">
        <v>365</v>
      </c>
      <c r="AE198" s="70" t="s">
        <v>366</v>
      </c>
    </row>
    <row r="199" spans="3:31" x14ac:dyDescent="0.3">
      <c r="C199" s="2" t="s">
        <v>297</v>
      </c>
      <c r="D199" s="37" cm="1">
        <f t="array" aca="1" ref="D199" ca="1">INDIRECT("'" &amp; C199 &amp; "'!$E$44")</f>
        <v>3</v>
      </c>
      <c r="E199" s="37" cm="1">
        <f t="array" aca="1" ref="E199" ca="1">INDIRECT("'" &amp; C199 &amp; "'!$F$44")</f>
        <v>3</v>
      </c>
      <c r="G199" t="s">
        <v>310</v>
      </c>
      <c r="H199" s="65">
        <f ca="1">MAX(D187:D207)</f>
        <v>7</v>
      </c>
      <c r="J199" t="s">
        <v>334</v>
      </c>
      <c r="K199">
        <v>0.05</v>
      </c>
      <c r="M199" t="s">
        <v>310</v>
      </c>
      <c r="N199" s="65">
        <f ca="1">MAX(E187:E207)</f>
        <v>7</v>
      </c>
      <c r="P199" t="s">
        <v>334</v>
      </c>
      <c r="Q199">
        <v>0.05</v>
      </c>
      <c r="S199" s="85"/>
      <c r="T199" s="85"/>
      <c r="U199" s="85"/>
      <c r="V199" s="85"/>
      <c r="W199" s="85"/>
      <c r="X199" s="85"/>
      <c r="AC199" t="s">
        <v>367</v>
      </c>
      <c r="AD199" s="88">
        <f ca="1">AD193*(AD193+1)/4</f>
        <v>7.5</v>
      </c>
    </row>
    <row r="200" spans="3:31" x14ac:dyDescent="0.3">
      <c r="C200" s="2" t="s">
        <v>298</v>
      </c>
      <c r="D200" s="37" cm="1">
        <f t="array" aca="1" ref="D200" ca="1">INDIRECT("'" &amp; C200 &amp; "'!$E$44")</f>
        <v>5</v>
      </c>
      <c r="E200" s="37" cm="1">
        <f t="array" aca="1" ref="E200" ca="1">INDIRECT("'" &amp; C200 &amp; "'!$F$44")</f>
        <v>5</v>
      </c>
      <c r="G200" t="s">
        <v>311</v>
      </c>
      <c r="H200" s="65">
        <f ca="1">MIN(D187:D207)</f>
        <v>1</v>
      </c>
      <c r="J200" s="63" t="s">
        <v>335</v>
      </c>
      <c r="K200" s="66" t="str">
        <f ca="1">IF(K198&lt;K199,"no","yes")</f>
        <v>yes</v>
      </c>
      <c r="M200" t="s">
        <v>311</v>
      </c>
      <c r="N200" s="65">
        <f ca="1">MIN(E187:E207)</f>
        <v>1</v>
      </c>
      <c r="P200" s="63" t="s">
        <v>335</v>
      </c>
      <c r="Q200" s="66" t="str">
        <f ca="1">IF(Q198&lt;Q199,"no","yes")</f>
        <v>yes</v>
      </c>
      <c r="AC200" t="s">
        <v>368</v>
      </c>
      <c r="AD200" s="74">
        <f ca="1">SQRT(AD199*(2*AD193+1)/6-[1]!TiesCorrection(D187:D207,E187:E207,1)/48)</f>
        <v>3.640054944640259</v>
      </c>
      <c r="AE200" t="s">
        <v>369</v>
      </c>
    </row>
    <row r="201" spans="3:31" x14ac:dyDescent="0.3">
      <c r="C201" s="2" t="s">
        <v>299</v>
      </c>
      <c r="D201" s="37" cm="1">
        <f t="array" aca="1" ref="D201" ca="1">INDIRECT("'" &amp; C201 &amp; "'!$E$44")</f>
        <v>3</v>
      </c>
      <c r="E201" s="37" cm="1">
        <f t="array" aca="1" ref="E201" ca="1">INDIRECT("'" &amp; C201 &amp; "'!$F$44")</f>
        <v>3</v>
      </c>
      <c r="G201" t="s">
        <v>312</v>
      </c>
      <c r="H201" s="65">
        <f ca="1">SUM(D187:D207)</f>
        <v>78</v>
      </c>
      <c r="M201" t="s">
        <v>312</v>
      </c>
      <c r="N201" s="65">
        <f ca="1">SUM(E187:E207)</f>
        <v>86</v>
      </c>
      <c r="AC201" t="s">
        <v>370</v>
      </c>
      <c r="AD201" s="74">
        <f ca="1">ABS(ABS(AD196-AD199)-1/2)/AD200</f>
        <v>1.9230478952816463</v>
      </c>
      <c r="AE201" t="s">
        <v>371</v>
      </c>
    </row>
    <row r="202" spans="3:31" x14ac:dyDescent="0.3">
      <c r="C202" s="2" t="s">
        <v>395</v>
      </c>
      <c r="D202" s="37" cm="1">
        <f t="array" aca="1" ref="D202" ca="1">INDIRECT("'" &amp; C202 &amp; "'!$E$44")</f>
        <v>4</v>
      </c>
      <c r="E202" s="37" cm="1">
        <f t="array" aca="1" ref="E202" ca="1">INDIRECT("'" &amp; C202 &amp; "'!$F$44")</f>
        <v>4</v>
      </c>
      <c r="G202" t="s">
        <v>313</v>
      </c>
      <c r="H202">
        <f ca="1">COUNT(D187:D207)</f>
        <v>21</v>
      </c>
      <c r="M202" t="s">
        <v>313</v>
      </c>
      <c r="N202">
        <f ca="1">COUNT(E187:E207)</f>
        <v>21</v>
      </c>
      <c r="AC202" t="s">
        <v>372</v>
      </c>
      <c r="AD202" s="74">
        <f ca="1">AD201/SQRT(AD193)</f>
        <v>0.86001316356753166</v>
      </c>
    </row>
    <row r="203" spans="3:31" x14ac:dyDescent="0.3">
      <c r="C203" s="2" t="s">
        <v>396</v>
      </c>
      <c r="D203" s="37" cm="1">
        <f t="array" aca="1" ref="D203" ca="1">INDIRECT("'" &amp; C203 &amp; "'!$E$44")</f>
        <v>3</v>
      </c>
      <c r="E203" s="37" cm="1">
        <f t="array" aca="1" ref="E203" ca="1">INDIRECT("'" &amp; C203 &amp; "'!$F$44")</f>
        <v>5</v>
      </c>
      <c r="G203" t="s">
        <v>314</v>
      </c>
      <c r="H203">
        <f ca="1">GEOMEAN(D187:D207)</f>
        <v>3.4061421022147433</v>
      </c>
      <c r="M203" t="s">
        <v>314</v>
      </c>
      <c r="N203">
        <f ca="1">GEOMEAN(E187:E207)</f>
        <v>3.8082551417890307</v>
      </c>
      <c r="AC203" t="s">
        <v>373</v>
      </c>
      <c r="AD203" s="88">
        <f ca="1">1-_xlfn.NORM.S.DIST(AD201,TRUE)</f>
        <v>2.7237017553097709E-2</v>
      </c>
      <c r="AE203" s="104">
        <f ca="1">2*AD203</f>
        <v>5.4474035106195418E-2</v>
      </c>
    </row>
    <row r="204" spans="3:31" x14ac:dyDescent="0.3">
      <c r="C204" s="2" t="s">
        <v>397</v>
      </c>
      <c r="D204" s="37" cm="1">
        <f t="array" aca="1" ref="D204" ca="1">INDIRECT("'" &amp; C204 &amp; "'!$E$44")</f>
        <v>4</v>
      </c>
      <c r="E204" s="37" cm="1">
        <f t="array" aca="1" ref="E204" ca="1">INDIRECT("'" &amp; C204 &amp; "'!$F$44")</f>
        <v>4</v>
      </c>
      <c r="G204" t="s">
        <v>315</v>
      </c>
      <c r="H204">
        <f ca="1">HARMEAN(D187:D207)</f>
        <v>3.0540166204986159</v>
      </c>
      <c r="M204" t="s">
        <v>315</v>
      </c>
      <c r="N204">
        <f ca="1">HARMEAN(E187:E207)</f>
        <v>3.418604651162791</v>
      </c>
      <c r="AC204" t="s">
        <v>374</v>
      </c>
      <c r="AD204" s="74">
        <f ca="1">[1]!SRDIST(AD196,AD193,1)</f>
        <v>3.125E-2</v>
      </c>
      <c r="AE204" s="77">
        <f ca="1">2*AD204</f>
        <v>6.25E-2</v>
      </c>
    </row>
    <row r="205" spans="3:31" x14ac:dyDescent="0.3">
      <c r="C205" s="2" t="s">
        <v>398</v>
      </c>
      <c r="D205" s="37" cm="1">
        <f t="array" aca="1" ref="D205" ca="1">INDIRECT("'" &amp; C205 &amp; "'!$E$44")</f>
        <v>3</v>
      </c>
      <c r="E205" s="37" cm="1">
        <f t="array" aca="1" ref="E205" ca="1">INDIRECT("'" &amp; C205 &amp; "'!$F$44")</f>
        <v>3</v>
      </c>
      <c r="G205" t="s">
        <v>316</v>
      </c>
      <c r="H205">
        <f ca="1">AVEDEV(D187:D207)</f>
        <v>1.1564625850340138</v>
      </c>
      <c r="M205" t="s">
        <v>316</v>
      </c>
      <c r="N205">
        <f ca="1">AVEDEV(E187:E207)</f>
        <v>1.0702947845804989</v>
      </c>
      <c r="AC205" t="s">
        <v>375</v>
      </c>
      <c r="AD205" s="75" t="s">
        <v>376</v>
      </c>
      <c r="AE205" s="78" t="s">
        <v>376</v>
      </c>
    </row>
    <row r="206" spans="3:31" x14ac:dyDescent="0.3">
      <c r="C206" s="2" t="s">
        <v>399</v>
      </c>
      <c r="D206" s="37" cm="1">
        <f t="array" aca="1" ref="D206" ca="1">INDIRECT("'" &amp; C206 &amp; "'!$E$44")</f>
        <v>1</v>
      </c>
      <c r="E206" s="37" cm="1">
        <f t="array" aca="1" ref="E206" ca="1">INDIRECT("'" &amp; C206 &amp; "'!$F$44")</f>
        <v>1</v>
      </c>
      <c r="G206" t="s">
        <v>317</v>
      </c>
      <c r="H206">
        <f ca="1">[1]!MAD(D187:D207)</f>
        <v>1</v>
      </c>
      <c r="M206" t="s">
        <v>317</v>
      </c>
      <c r="N206">
        <f ca="1">[1]!MAD(E187:E207)</f>
        <v>1</v>
      </c>
    </row>
    <row r="207" spans="3:31" x14ac:dyDescent="0.3">
      <c r="C207" s="2" t="s">
        <v>400</v>
      </c>
      <c r="D207" s="37" cm="1">
        <f t="array" aca="1" ref="D207" ca="1">INDIRECT("'" &amp; C207 &amp; "'!$E$44")</f>
        <v>3</v>
      </c>
      <c r="E207" s="37" cm="1">
        <f t="array" aca="1" ref="E207" ca="1">INDIRECT("'" &amp; C207 &amp; "'!$F$44")</f>
        <v>3</v>
      </c>
      <c r="G207" s="63" t="s">
        <v>318</v>
      </c>
      <c r="H207" s="63">
        <f ca="1">[1]!IQR(D187:D207,FALSE)</f>
        <v>1</v>
      </c>
      <c r="M207" s="63" t="s">
        <v>318</v>
      </c>
      <c r="N207" s="63">
        <f ca="1">[1]!IQR(E187:E207,FALSE)</f>
        <v>2</v>
      </c>
    </row>
    <row r="211" spans="3:31" x14ac:dyDescent="0.3">
      <c r="C211" s="2"/>
      <c r="D211" s="58" t="s">
        <v>81</v>
      </c>
      <c r="E211" s="2"/>
    </row>
    <row r="212" spans="3:31" x14ac:dyDescent="0.3">
      <c r="C212" s="2"/>
      <c r="D212" s="2"/>
      <c r="E212" s="2"/>
    </row>
    <row r="213" spans="3:31" x14ac:dyDescent="0.3">
      <c r="C213" s="2" t="s">
        <v>285</v>
      </c>
      <c r="D213" s="37" cm="1">
        <f t="array" aca="1" ref="D213" ca="1">INDIRECT("'" &amp; C213 &amp; "'!$E$45")</f>
        <v>2</v>
      </c>
      <c r="E213" s="37" cm="1">
        <f t="array" aca="1" ref="E213" ca="1">INDIRECT("'" &amp; C213 &amp; "'!$F$45")</f>
        <v>3</v>
      </c>
      <c r="G213" t="s">
        <v>300</v>
      </c>
      <c r="J213" t="s">
        <v>331</v>
      </c>
      <c r="M213" t="s">
        <v>300</v>
      </c>
      <c r="P213" t="s">
        <v>331</v>
      </c>
      <c r="S213" t="s">
        <v>338</v>
      </c>
      <c r="AC213" t="s">
        <v>358</v>
      </c>
    </row>
    <row r="214" spans="3:31" x14ac:dyDescent="0.3">
      <c r="C214" s="2" t="s">
        <v>286</v>
      </c>
      <c r="D214" s="37" cm="1">
        <f t="array" aca="1" ref="D214" ca="1">INDIRECT("'" &amp; C214 &amp; "'!$E$45")</f>
        <v>1</v>
      </c>
      <c r="E214" s="37" cm="1">
        <f t="array" aca="1" ref="E214" ca="1">INDIRECT("'" &amp; C214 &amp; "'!$F$45")</f>
        <v>1</v>
      </c>
    </row>
    <row r="215" spans="3:31" ht="15" thickBot="1" x14ac:dyDescent="0.35">
      <c r="C215" s="2" t="s">
        <v>287</v>
      </c>
      <c r="D215" s="37" cm="1">
        <f t="array" aca="1" ref="D215" ca="1">INDIRECT("'" &amp; C215 &amp; "'!$E$45")</f>
        <v>2</v>
      </c>
      <c r="E215" s="37" cm="1">
        <f t="array" aca="1" ref="E215" ca="1">INDIRECT("'" &amp; C215 &amp; "'!$F$45")</f>
        <v>3</v>
      </c>
      <c r="G215" s="64"/>
      <c r="H215" s="64" t="s">
        <v>379</v>
      </c>
      <c r="J215" s="64"/>
      <c r="K215" s="64" t="s">
        <v>379</v>
      </c>
      <c r="M215" s="64"/>
      <c r="N215" s="64" t="s">
        <v>379</v>
      </c>
      <c r="P215" s="64"/>
      <c r="Q215" s="64" t="s">
        <v>379</v>
      </c>
      <c r="S215" t="s">
        <v>339</v>
      </c>
      <c r="V215" t="s">
        <v>340</v>
      </c>
      <c r="W215">
        <v>0.05</v>
      </c>
      <c r="Y215" t="s">
        <v>341</v>
      </c>
      <c r="Z215">
        <v>0</v>
      </c>
      <c r="AD215" t="s">
        <v>381</v>
      </c>
      <c r="AE215" t="s">
        <v>382</v>
      </c>
    </row>
    <row r="216" spans="3:31" ht="15" thickTop="1" x14ac:dyDescent="0.3">
      <c r="C216" s="2" t="s">
        <v>288</v>
      </c>
      <c r="D216" s="37" cm="1">
        <f t="array" aca="1" ref="D216" ca="1">INDIRECT("'" &amp; C216 &amp; "'!$E$45")</f>
        <v>1</v>
      </c>
      <c r="E216" s="37" cm="1">
        <f t="array" aca="1" ref="E216" ca="1">INDIRECT("'" &amp; C216 &amp; "'!$F$45")</f>
        <v>1</v>
      </c>
      <c r="G216" t="s">
        <v>301</v>
      </c>
      <c r="H216" s="65">
        <f ca="1">AVERAGE(D213:D233)</f>
        <v>2.5238095238095237</v>
      </c>
      <c r="J216" t="s">
        <v>332</v>
      </c>
      <c r="K216">
        <f ca="1">[1]!SHAPIRO(D213:D233)</f>
        <v>0.89420534335584456</v>
      </c>
      <c r="M216" t="s">
        <v>301</v>
      </c>
      <c r="N216" s="65">
        <f ca="1">AVERAGE(E213:E233)</f>
        <v>2.2380952380952381</v>
      </c>
      <c r="P216" t="s">
        <v>332</v>
      </c>
      <c r="Q216">
        <f ca="1">[1]!SHAPIRO(E213:E233)</f>
        <v>0.87634755634357586</v>
      </c>
      <c r="S216" s="68" t="s">
        <v>342</v>
      </c>
      <c r="T216" s="68" t="s">
        <v>313</v>
      </c>
      <c r="U216" s="68" t="s">
        <v>301</v>
      </c>
      <c r="V216" s="68" t="s">
        <v>343</v>
      </c>
      <c r="W216" s="68" t="s">
        <v>344</v>
      </c>
      <c r="X216" s="68" t="s">
        <v>345</v>
      </c>
      <c r="Y216" s="68" t="s">
        <v>346</v>
      </c>
      <c r="Z216" s="68" t="s">
        <v>347</v>
      </c>
      <c r="AA216" s="68" t="s">
        <v>348</v>
      </c>
      <c r="AC216" t="s">
        <v>359</v>
      </c>
      <c r="AD216" s="102">
        <f ca="1">MEDIAN(D213:D233)</f>
        <v>3</v>
      </c>
      <c r="AE216" s="103">
        <f ca="1">MEDIAN(E213:E233)</f>
        <v>2</v>
      </c>
    </row>
    <row r="217" spans="3:31" x14ac:dyDescent="0.3">
      <c r="C217" s="2" t="s">
        <v>289</v>
      </c>
      <c r="D217" s="37" cm="1">
        <f t="array" aca="1" ref="D217" ca="1">INDIRECT("'" &amp; C217 &amp; "'!$E$45")</f>
        <v>1</v>
      </c>
      <c r="E217" s="37" cm="1">
        <f t="array" aca="1" ref="E217" ca="1">INDIRECT("'" &amp; C217 &amp; "'!$F$45")</f>
        <v>1</v>
      </c>
      <c r="G217" t="s">
        <v>302</v>
      </c>
      <c r="H217">
        <f ca="1">_xlfn.STDEV.S(D213:D233)/SQRT(COUNT(D213:D233))</f>
        <v>0.27272040120526392</v>
      </c>
      <c r="J217" t="s">
        <v>333</v>
      </c>
      <c r="K217">
        <f ca="1">[1]!SWTEST(D213:D233)</f>
        <v>2.705939863873974E-2</v>
      </c>
      <c r="M217" t="s">
        <v>302</v>
      </c>
      <c r="N217">
        <f ca="1">_xlfn.STDEV.S(E213:E233)/SQRT(COUNT(E213:E233))</f>
        <v>0.23809523809523808</v>
      </c>
      <c r="P217" t="s">
        <v>333</v>
      </c>
      <c r="Q217">
        <f ca="1">[1]!SWTEST(E213:E233)</f>
        <v>1.2506132484589427E-2</v>
      </c>
      <c r="S217" t="s">
        <v>379</v>
      </c>
      <c r="T217">
        <f ca="1">COUNT(D213:D233)</f>
        <v>21</v>
      </c>
      <c r="U217" s="65">
        <f ca="1">AVERAGE(D213:D233)</f>
        <v>2.5238095238095237</v>
      </c>
      <c r="V217">
        <f ca="1">_xlfn.STDEV.S(D213:D233)</f>
        <v>1.2497618820818477</v>
      </c>
    </row>
    <row r="218" spans="3:31" x14ac:dyDescent="0.3">
      <c r="C218" s="2" t="s">
        <v>290</v>
      </c>
      <c r="D218" s="37" cm="1">
        <f t="array" aca="1" ref="D218" ca="1">INDIRECT("'" &amp; C218 &amp; "'!$E$45")</f>
        <v>4</v>
      </c>
      <c r="E218" s="37" cm="1">
        <f t="array" aca="1" ref="E218" ca="1">INDIRECT("'" &amp; C218 &amp; "'!$F$45")</f>
        <v>3</v>
      </c>
      <c r="G218" t="s">
        <v>303</v>
      </c>
      <c r="H218" s="65">
        <f ca="1">MEDIAN(D213:D233)</f>
        <v>3</v>
      </c>
      <c r="J218" t="s">
        <v>334</v>
      </c>
      <c r="K218">
        <v>0.05</v>
      </c>
      <c r="M218" t="s">
        <v>303</v>
      </c>
      <c r="N218" s="65">
        <f ca="1">MEDIAN(E213:E233)</f>
        <v>2</v>
      </c>
      <c r="P218" t="s">
        <v>334</v>
      </c>
      <c r="Q218">
        <v>0.05</v>
      </c>
      <c r="S218" t="s">
        <v>380</v>
      </c>
      <c r="T218">
        <f ca="1">COUNT(E213:E233)</f>
        <v>21</v>
      </c>
      <c r="U218" s="65">
        <f ca="1">AVERAGE(E213:E233)</f>
        <v>2.2380952380952381</v>
      </c>
      <c r="V218">
        <f ca="1">_xlfn.STDEV.S(E213:E233)</f>
        <v>1.0910894511799618</v>
      </c>
      <c r="AC218" t="s">
        <v>360</v>
      </c>
      <c r="AD218" s="88">
        <f ca="1">SUMPRODUCT(--ISNUMBER(D213:D233),--ISNUMBER(E213:E233))</f>
        <v>21</v>
      </c>
    </row>
    <row r="219" spans="3:31" x14ac:dyDescent="0.3">
      <c r="C219" s="2" t="s">
        <v>291</v>
      </c>
      <c r="D219" s="37" cm="1">
        <f t="array" aca="1" ref="D219" ca="1">INDIRECT("'" &amp; C219 &amp; "'!$E$45")</f>
        <v>1</v>
      </c>
      <c r="E219" s="37" cm="1">
        <f t="array" aca="1" ref="E219" ca="1">INDIRECT("'" &amp; C219 &amp; "'!$F$45")</f>
        <v>1</v>
      </c>
      <c r="G219" t="s">
        <v>304</v>
      </c>
      <c r="H219">
        <f ca="1">MODE(D213:D233)</f>
        <v>1</v>
      </c>
      <c r="J219" s="63" t="s">
        <v>335</v>
      </c>
      <c r="K219" s="66" t="str">
        <f ca="1">IF(K217&lt;K218,"no","yes")</f>
        <v>no</v>
      </c>
      <c r="M219" t="s">
        <v>304</v>
      </c>
      <c r="N219">
        <f ca="1">MODE(E213:E233)</f>
        <v>2</v>
      </c>
      <c r="P219" s="63" t="s">
        <v>335</v>
      </c>
      <c r="Q219" s="66" t="str">
        <f ca="1">IF(Q217&lt;Q218,"no","yes")</f>
        <v>no</v>
      </c>
      <c r="S219" s="85" t="s">
        <v>349</v>
      </c>
      <c r="T219" s="85">
        <f ca="1">T218</f>
        <v>21</v>
      </c>
      <c r="U219" s="100">
        <f ca="1">U217-U218</f>
        <v>0.28571428571428559</v>
      </c>
      <c r="V219" s="85">
        <f t="array" aca="1" ref="V219" ca="1">_xlfn.STDEV.S(D213:D233-E213:E233)</f>
        <v>0.84515425472851657</v>
      </c>
      <c r="W219" s="85">
        <f ca="1">V219/SQRT(T219)</f>
        <v>0.18442777839082938</v>
      </c>
      <c r="X219" s="85">
        <f ca="1">(U217-U218-Z215)/W219</f>
        <v>1.5491933384829659</v>
      </c>
      <c r="Y219" s="85">
        <f ca="1">T219-1</f>
        <v>20</v>
      </c>
      <c r="Z219" s="85">
        <f ca="1">ABS(U217-U218-Z215)/V219</f>
        <v>0.3380617018914065</v>
      </c>
      <c r="AA219" s="85">
        <f ca="1">SQRT(X219^2/(X219^2+Y219))</f>
        <v>0.32732683535398838</v>
      </c>
      <c r="AC219" t="s">
        <v>361</v>
      </c>
      <c r="AD219" s="74">
        <f ca="1">SUMPRODUCT(--ISNUMBER(D213:D233),--ISNUMBER(E213:E233),--(D213:D233&lt;&gt;E213:E233))</f>
        <v>10</v>
      </c>
    </row>
    <row r="220" spans="3:31" x14ac:dyDescent="0.3">
      <c r="C220" s="2" t="s">
        <v>292</v>
      </c>
      <c r="D220" s="37" cm="1">
        <f t="array" aca="1" ref="D220" ca="1">INDIRECT("'" &amp; C220 &amp; "'!$E$45")</f>
        <v>1</v>
      </c>
      <c r="E220" s="37" cm="1">
        <f t="array" aca="1" ref="E220" ca="1">INDIRECT("'" &amp; C220 &amp; "'!$F$45")</f>
        <v>1</v>
      </c>
      <c r="G220" t="s">
        <v>305</v>
      </c>
      <c r="H220">
        <f ca="1">_xlfn.STDEV.S(D213:D233)</f>
        <v>1.2497618820818477</v>
      </c>
      <c r="M220" t="s">
        <v>305</v>
      </c>
      <c r="N220">
        <f ca="1">_xlfn.STDEV.S(E213:E233)</f>
        <v>1.0910894511799618</v>
      </c>
      <c r="AC220" t="s">
        <v>362</v>
      </c>
      <c r="AD220" s="74">
        <f ca="1">IF(AD222&lt;=AD225,AD222,AD219*(AD219+1)/2)</f>
        <v>13.5</v>
      </c>
    </row>
    <row r="221" spans="3:31" ht="15" thickBot="1" x14ac:dyDescent="0.35">
      <c r="C221" s="2" t="s">
        <v>293</v>
      </c>
      <c r="D221" s="37" cm="1">
        <f t="array" aca="1" ref="D221" ca="1">INDIRECT("'" &amp; C221 &amp; "'!$E$45")</f>
        <v>1</v>
      </c>
      <c r="E221" s="37" cm="1">
        <f t="array" aca="1" ref="E221" ca="1">INDIRECT("'" &amp; C221 &amp; "'!$F$45")</f>
        <v>1</v>
      </c>
      <c r="G221" t="s">
        <v>306</v>
      </c>
      <c r="H221">
        <f ca="1">_xlfn.VAR.S(D213:D233)</f>
        <v>1.5619047619047621</v>
      </c>
      <c r="J221" t="s">
        <v>336</v>
      </c>
      <c r="M221" t="s">
        <v>306</v>
      </c>
      <c r="N221">
        <f ca="1">_xlfn.VAR.S(E213:E233)</f>
        <v>1.1904761904761905</v>
      </c>
      <c r="P221" t="s">
        <v>336</v>
      </c>
      <c r="S221" t="s">
        <v>350</v>
      </c>
      <c r="AC221" t="s">
        <v>363</v>
      </c>
      <c r="AD221" s="74">
        <f ca="1">AD219*(AD219+1)/2-AD220</f>
        <v>41.5</v>
      </c>
    </row>
    <row r="222" spans="3:31" ht="15" thickTop="1" x14ac:dyDescent="0.3">
      <c r="C222" s="2" t="s">
        <v>294</v>
      </c>
      <c r="D222" s="37" cm="1">
        <f t="array" aca="1" ref="D222" ca="1">INDIRECT("'" &amp; C222 &amp; "'!$E$45")</f>
        <v>2</v>
      </c>
      <c r="E222" s="37" cm="1">
        <f t="array" aca="1" ref="E222" ca="1">INDIRECT("'" &amp; C222 &amp; "'!$F$45")</f>
        <v>3</v>
      </c>
      <c r="G222" t="s">
        <v>307</v>
      </c>
      <c r="H222">
        <f ca="1">KURT(D213:D233)</f>
        <v>-1.0294037070665962</v>
      </c>
      <c r="M222" t="s">
        <v>307</v>
      </c>
      <c r="N222">
        <f ca="1">KURT(E213:E233)</f>
        <v>0.49303578947368321</v>
      </c>
      <c r="S222" s="68" t="s">
        <v>351</v>
      </c>
      <c r="T222" s="68" t="s">
        <v>333</v>
      </c>
      <c r="U222" s="68" t="s">
        <v>352</v>
      </c>
      <c r="V222" s="68" t="s">
        <v>353</v>
      </c>
      <c r="W222" s="68" t="s">
        <v>354</v>
      </c>
      <c r="X222" s="68" t="s">
        <v>355</v>
      </c>
      <c r="AC222" t="s">
        <v>364</v>
      </c>
      <c r="AD222" s="75">
        <f ca="1">[1]!SRANK(D213:D233,E213:E233)</f>
        <v>13.5</v>
      </c>
    </row>
    <row r="223" spans="3:31" x14ac:dyDescent="0.3">
      <c r="C223" s="2" t="s">
        <v>295</v>
      </c>
      <c r="D223" s="37" cm="1">
        <f t="array" aca="1" ref="D223" ca="1">INDIRECT("'" &amp; C223 &amp; "'!$E$45")</f>
        <v>3</v>
      </c>
      <c r="E223" s="37" cm="1">
        <f t="array" aca="1" ref="E223" ca="1">INDIRECT("'" &amp; C223 &amp; "'!$F$45")</f>
        <v>2</v>
      </c>
      <c r="G223" t="s">
        <v>308</v>
      </c>
      <c r="H223">
        <f ca="1">SKEW(D213:D233)</f>
        <v>0.19515912792771309</v>
      </c>
      <c r="J223" s="85" t="s">
        <v>337</v>
      </c>
      <c r="K223" s="85">
        <f ca="1">[1]!DAGOSTINO(D213:D233)</f>
        <v>2.0372704623872666</v>
      </c>
      <c r="M223" t="s">
        <v>308</v>
      </c>
      <c r="N223">
        <f ca="1">SKEW(E213:E233)</f>
        <v>0.75347191952852843</v>
      </c>
      <c r="P223" s="85" t="s">
        <v>337</v>
      </c>
      <c r="Q223" s="85">
        <f ca="1">[1]!DAGOSTINO(E213:E233)</f>
        <v>2.8545987394587153</v>
      </c>
      <c r="S223" t="s">
        <v>356</v>
      </c>
      <c r="T223">
        <f ca="1">_xlfn.T.DIST.RT(ABS(X219),Y219)</f>
        <v>6.8507403110683596E-2</v>
      </c>
      <c r="U223">
        <f ca="1">_xlfn.T.INV.2T(W215*2,Y219)</f>
        <v>1.7247182429207868</v>
      </c>
      <c r="X223" s="70" t="str">
        <f ca="1">IF(T223&lt;W215,"yes","no")</f>
        <v>no</v>
      </c>
    </row>
    <row r="224" spans="3:31" x14ac:dyDescent="0.3">
      <c r="C224" s="2" t="s">
        <v>296</v>
      </c>
      <c r="D224" s="37" cm="1">
        <f t="array" aca="1" ref="D224" ca="1">INDIRECT("'" &amp; C224 &amp; "'!$E$45")</f>
        <v>4</v>
      </c>
      <c r="E224" s="37" cm="1">
        <f t="array" aca="1" ref="E224" ca="1">INDIRECT("'" &amp; C224 &amp; "'!$F$45")</f>
        <v>2</v>
      </c>
      <c r="G224" t="s">
        <v>309</v>
      </c>
      <c r="H224">
        <f ca="1">H225-H226</f>
        <v>4</v>
      </c>
      <c r="J224" t="s">
        <v>333</v>
      </c>
      <c r="K224">
        <f ca="1">[1]!DPTEST(D213:D233)</f>
        <v>0.36108740487295199</v>
      </c>
      <c r="M224" t="s">
        <v>309</v>
      </c>
      <c r="N224">
        <f ca="1">N225-N226</f>
        <v>4</v>
      </c>
      <c r="P224" t="s">
        <v>333</v>
      </c>
      <c r="Q224">
        <f ca="1">[1]!DPTEST(E213:E233)</f>
        <v>0.23995608063764284</v>
      </c>
      <c r="S224" t="s">
        <v>357</v>
      </c>
      <c r="T224">
        <f ca="1">_xlfn.T.DIST.2T(ABS(X219),Y219)</f>
        <v>0.13701480622136719</v>
      </c>
      <c r="U224">
        <f ca="1">_xlfn.T.INV.2T(W215,Y219)</f>
        <v>2.0859634472658648</v>
      </c>
      <c r="V224">
        <f ca="1">(U217-U218)-W219*U224</f>
        <v>-9.8995318669433841E-2</v>
      </c>
      <c r="W224">
        <f ca="1">(U217-U218)+W219*U224</f>
        <v>0.67042389009800507</v>
      </c>
      <c r="X224" s="70" t="str">
        <f ca="1">IF(T224&lt;W215,"yes","no")</f>
        <v>no</v>
      </c>
      <c r="AD224" s="70" t="s">
        <v>365</v>
      </c>
      <c r="AE224" s="70" t="s">
        <v>366</v>
      </c>
    </row>
    <row r="225" spans="3:31" x14ac:dyDescent="0.3">
      <c r="C225" s="2" t="s">
        <v>297</v>
      </c>
      <c r="D225" s="37" cm="1">
        <f t="array" aca="1" ref="D225" ca="1">INDIRECT("'" &amp; C225 &amp; "'!$E$45")</f>
        <v>5</v>
      </c>
      <c r="E225" s="37" cm="1">
        <f t="array" aca="1" ref="E225" ca="1">INDIRECT("'" &amp; C225 &amp; "'!$F$45")</f>
        <v>5</v>
      </c>
      <c r="G225" t="s">
        <v>310</v>
      </c>
      <c r="H225" s="65">
        <f ca="1">MAX(D213:D233)</f>
        <v>5</v>
      </c>
      <c r="J225" t="s">
        <v>334</v>
      </c>
      <c r="K225">
        <v>0.05</v>
      </c>
      <c r="M225" t="s">
        <v>310</v>
      </c>
      <c r="N225" s="65">
        <f ca="1">MAX(E213:E233)</f>
        <v>5</v>
      </c>
      <c r="P225" t="s">
        <v>334</v>
      </c>
      <c r="Q225">
        <v>0.05</v>
      </c>
      <c r="S225" s="85"/>
      <c r="T225" s="85"/>
      <c r="U225" s="85"/>
      <c r="V225" s="85"/>
      <c r="W225" s="85"/>
      <c r="X225" s="85"/>
      <c r="AC225" t="s">
        <v>367</v>
      </c>
      <c r="AD225" s="88">
        <f ca="1">AD219*(AD219+1)/4</f>
        <v>27.5</v>
      </c>
    </row>
    <row r="226" spans="3:31" x14ac:dyDescent="0.3">
      <c r="C226" s="2" t="s">
        <v>298</v>
      </c>
      <c r="D226" s="37" cm="1">
        <f t="array" aca="1" ref="D226" ca="1">INDIRECT("'" &amp; C226 &amp; "'!$E$45")</f>
        <v>3</v>
      </c>
      <c r="E226" s="37" cm="1">
        <f t="array" aca="1" ref="E226" ca="1">INDIRECT("'" &amp; C226 &amp; "'!$F$45")</f>
        <v>3</v>
      </c>
      <c r="G226" t="s">
        <v>311</v>
      </c>
      <c r="H226" s="65">
        <f ca="1">MIN(D213:D233)</f>
        <v>1</v>
      </c>
      <c r="J226" s="63" t="s">
        <v>335</v>
      </c>
      <c r="K226" s="66" t="str">
        <f ca="1">IF(K224&lt;K225,"no","yes")</f>
        <v>yes</v>
      </c>
      <c r="M226" t="s">
        <v>311</v>
      </c>
      <c r="N226" s="65">
        <f ca="1">MIN(E213:E233)</f>
        <v>1</v>
      </c>
      <c r="P226" s="63" t="s">
        <v>335</v>
      </c>
      <c r="Q226" s="66" t="str">
        <f ca="1">IF(Q224&lt;Q225,"no","yes")</f>
        <v>yes</v>
      </c>
      <c r="AC226" t="s">
        <v>368</v>
      </c>
      <c r="AD226" s="74">
        <f ca="1">SQRT(AD225*(2*AD219+1)/6-[1]!TiesCorrection(D213:D233,E213:E233,1)/48)</f>
        <v>9.2533777616608734</v>
      </c>
      <c r="AE226" t="s">
        <v>369</v>
      </c>
    </row>
    <row r="227" spans="3:31" x14ac:dyDescent="0.3">
      <c r="C227" s="2" t="s">
        <v>299</v>
      </c>
      <c r="D227" s="37" cm="1">
        <f t="array" aca="1" ref="D227" ca="1">INDIRECT("'" &amp; C227 &amp; "'!$E$45")</f>
        <v>2</v>
      </c>
      <c r="E227" s="37" cm="1">
        <f t="array" aca="1" ref="E227" ca="1">INDIRECT("'" &amp; C227 &amp; "'!$F$45")</f>
        <v>2</v>
      </c>
      <c r="G227" t="s">
        <v>312</v>
      </c>
      <c r="H227" s="65">
        <f ca="1">SUM(D213:D233)</f>
        <v>53</v>
      </c>
      <c r="M227" t="s">
        <v>312</v>
      </c>
      <c r="N227" s="65">
        <f ca="1">SUM(E213:E233)</f>
        <v>47</v>
      </c>
      <c r="AC227" t="s">
        <v>370</v>
      </c>
      <c r="AD227" s="74">
        <f ca="1">ABS(ABS(AD222-AD225)-1/2)/AD226</f>
        <v>1.4589267127874079</v>
      </c>
      <c r="AE227" t="s">
        <v>371</v>
      </c>
    </row>
    <row r="228" spans="3:31" x14ac:dyDescent="0.3">
      <c r="C228" s="2" t="s">
        <v>395</v>
      </c>
      <c r="D228" s="37" cm="1">
        <f t="array" aca="1" ref="D228" ca="1">INDIRECT("'" &amp; C228 &amp; "'!$E$45")</f>
        <v>4</v>
      </c>
      <c r="E228" s="37" cm="1">
        <f t="array" aca="1" ref="E228" ca="1">INDIRECT("'" &amp; C228 &amp; "'!$F$45")</f>
        <v>4</v>
      </c>
      <c r="G228" t="s">
        <v>313</v>
      </c>
      <c r="H228">
        <f ca="1">COUNT(D213:D233)</f>
        <v>21</v>
      </c>
      <c r="M228" t="s">
        <v>313</v>
      </c>
      <c r="N228">
        <f ca="1">COUNT(E213:E233)</f>
        <v>21</v>
      </c>
      <c r="AC228" t="s">
        <v>372</v>
      </c>
      <c r="AD228" s="74">
        <f ca="1">AD227/SQRT(AD219)</f>
        <v>0.4613531351670509</v>
      </c>
    </row>
    <row r="229" spans="3:31" x14ac:dyDescent="0.3">
      <c r="C229" s="2" t="s">
        <v>396</v>
      </c>
      <c r="D229" s="37" cm="1">
        <f t="array" aca="1" ref="D229" ca="1">INDIRECT("'" &amp; C229 &amp; "'!$E$45")</f>
        <v>3</v>
      </c>
      <c r="E229" s="37" cm="1">
        <f t="array" aca="1" ref="E229" ca="1">INDIRECT("'" &amp; C229 &amp; "'!$F$45")</f>
        <v>2</v>
      </c>
      <c r="G229" t="s">
        <v>314</v>
      </c>
      <c r="H229">
        <f ca="1">GEOMEAN(D213:D233)</f>
        <v>2.1959466498287199</v>
      </c>
      <c r="M229" t="s">
        <v>314</v>
      </c>
      <c r="N229">
        <f ca="1">GEOMEAN(E213:E233)</f>
        <v>1.9889208462109178</v>
      </c>
      <c r="AC229" t="s">
        <v>373</v>
      </c>
      <c r="AD229" s="88">
        <f ca="1">1-_xlfn.NORM.S.DIST(AD227,TRUE)</f>
        <v>7.2292639968676964E-2</v>
      </c>
      <c r="AE229" s="104">
        <f ca="1">2*AD229</f>
        <v>0.14458527993735393</v>
      </c>
    </row>
    <row r="230" spans="3:31" x14ac:dyDescent="0.3">
      <c r="C230" s="2" t="s">
        <v>397</v>
      </c>
      <c r="D230" s="37" cm="1">
        <f t="array" aca="1" ref="D230" ca="1">INDIRECT("'" &amp; C230 &amp; "'!$E$45")</f>
        <v>3</v>
      </c>
      <c r="E230" s="37" cm="1">
        <f t="array" aca="1" ref="E230" ca="1">INDIRECT("'" &amp; C230 &amp; "'!$F$45")</f>
        <v>3</v>
      </c>
      <c r="G230" t="s">
        <v>315</v>
      </c>
      <c r="H230">
        <f ca="1">HARMEAN(D213:D233)</f>
        <v>1.8749999999999996</v>
      </c>
      <c r="M230" t="s">
        <v>315</v>
      </c>
      <c r="N230">
        <f ca="1">HARMEAN(E213:E233)</f>
        <v>1.7573221757322177</v>
      </c>
      <c r="AC230" t="s">
        <v>374</v>
      </c>
      <c r="AD230" s="74">
        <f ca="1">[1]!SRDIST(AD222,AD219,1)</f>
        <v>8.0078125E-2</v>
      </c>
      <c r="AE230" s="77">
        <f ca="1">2*AD230</f>
        <v>0.16015625</v>
      </c>
    </row>
    <row r="231" spans="3:31" x14ac:dyDescent="0.3">
      <c r="C231" s="2" t="s">
        <v>398</v>
      </c>
      <c r="D231" s="37" cm="1">
        <f t="array" aca="1" ref="D231" ca="1">INDIRECT("'" &amp; C231 &amp; "'!$E$45")</f>
        <v>3</v>
      </c>
      <c r="E231" s="37" cm="1">
        <f t="array" aca="1" ref="E231" ca="1">INDIRECT("'" &amp; C231 &amp; "'!$F$45")</f>
        <v>2</v>
      </c>
      <c r="G231" t="s">
        <v>316</v>
      </c>
      <c r="H231">
        <f ca="1">AVEDEV(D213:D233)</f>
        <v>1.0702947845804984</v>
      </c>
      <c r="M231" t="s">
        <v>316</v>
      </c>
      <c r="N231">
        <f ca="1">AVEDEV(E213:E233)</f>
        <v>0.86621315192743764</v>
      </c>
      <c r="AC231" t="s">
        <v>375</v>
      </c>
      <c r="AD231" s="75" t="s">
        <v>376</v>
      </c>
      <c r="AE231" s="78" t="s">
        <v>376</v>
      </c>
    </row>
    <row r="232" spans="3:31" x14ac:dyDescent="0.3">
      <c r="C232" s="2" t="s">
        <v>399</v>
      </c>
      <c r="D232" s="37" cm="1">
        <f t="array" aca="1" ref="D232" ca="1">INDIRECT("'" &amp; C232 &amp; "'!$E$45")</f>
        <v>4</v>
      </c>
      <c r="E232" s="37" cm="1">
        <f t="array" aca="1" ref="E232" ca="1">INDIRECT("'" &amp; C232 &amp; "'!$F$45")</f>
        <v>2</v>
      </c>
      <c r="G232" t="s">
        <v>317</v>
      </c>
      <c r="H232">
        <f ca="1">[1]!MAD(D213:D233)</f>
        <v>1</v>
      </c>
      <c r="M232" t="s">
        <v>317</v>
      </c>
      <c r="N232">
        <f ca="1">[1]!MAD(E213:E233)</f>
        <v>1</v>
      </c>
    </row>
    <row r="233" spans="3:31" x14ac:dyDescent="0.3">
      <c r="C233" s="2" t="s">
        <v>400</v>
      </c>
      <c r="D233" s="37" cm="1">
        <f t="array" aca="1" ref="D233" ca="1">INDIRECT("'" &amp; C233 &amp; "'!$E$45")</f>
        <v>3</v>
      </c>
      <c r="E233" s="37" cm="1">
        <f t="array" aca="1" ref="E233" ca="1">INDIRECT("'" &amp; C233 &amp; "'!$F$45")</f>
        <v>2</v>
      </c>
      <c r="G233" s="63" t="s">
        <v>318</v>
      </c>
      <c r="H233" s="63">
        <f ca="1">[1]!IQR(D213:D233,FALSE)</f>
        <v>2</v>
      </c>
      <c r="M233" s="63" t="s">
        <v>318</v>
      </c>
      <c r="N233" s="63">
        <f ca="1">[1]!IQR(E213:E233,FALSE)</f>
        <v>2</v>
      </c>
    </row>
    <row r="237" spans="3:31" x14ac:dyDescent="0.3">
      <c r="C237" s="2"/>
      <c r="D237" s="58" t="s">
        <v>83</v>
      </c>
      <c r="E237" s="2"/>
    </row>
    <row r="238" spans="3:31" x14ac:dyDescent="0.3">
      <c r="C238" s="2"/>
      <c r="D238" s="2"/>
      <c r="E238" s="2"/>
    </row>
    <row r="239" spans="3:31" x14ac:dyDescent="0.3">
      <c r="C239" s="2" t="s">
        <v>285</v>
      </c>
      <c r="D239" s="37" cm="1">
        <f t="array" aca="1" ref="D239" ca="1">INDIRECT("'" &amp; C239 &amp; "'!$E$46")</f>
        <v>7</v>
      </c>
      <c r="E239" s="37" cm="1">
        <f t="array" aca="1" ref="E239" ca="1">INDIRECT("'" &amp; C239 &amp; "'!$F$46")</f>
        <v>6</v>
      </c>
      <c r="G239" t="s">
        <v>300</v>
      </c>
      <c r="J239" t="s">
        <v>331</v>
      </c>
      <c r="M239" t="s">
        <v>300</v>
      </c>
      <c r="P239" t="s">
        <v>331</v>
      </c>
      <c r="S239" t="s">
        <v>338</v>
      </c>
      <c r="AC239" t="s">
        <v>358</v>
      </c>
    </row>
    <row r="240" spans="3:31" x14ac:dyDescent="0.3">
      <c r="C240" s="2" t="s">
        <v>286</v>
      </c>
      <c r="D240" s="37" cm="1">
        <f t="array" aca="1" ref="D240" ca="1">INDIRECT("'" &amp; C240 &amp; "'!$E$46")</f>
        <v>6</v>
      </c>
      <c r="E240" s="37" cm="1">
        <f t="array" aca="1" ref="E240" ca="1">INDIRECT("'" &amp; C240 &amp; "'!$F$46")</f>
        <v>5</v>
      </c>
    </row>
    <row r="241" spans="3:31" ht="15" thickBot="1" x14ac:dyDescent="0.35">
      <c r="C241" s="2" t="s">
        <v>287</v>
      </c>
      <c r="D241" s="37" cm="1">
        <f t="array" aca="1" ref="D241" ca="1">INDIRECT("'" &amp; C241 &amp; "'!$E$46")</f>
        <v>6</v>
      </c>
      <c r="E241" s="37" cm="1">
        <f t="array" aca="1" ref="E241" ca="1">INDIRECT("'" &amp; C241 &amp; "'!$F$46")</f>
        <v>5</v>
      </c>
      <c r="G241" s="64"/>
      <c r="H241" s="64" t="s">
        <v>379</v>
      </c>
      <c r="J241" s="64"/>
      <c r="K241" s="64" t="s">
        <v>379</v>
      </c>
      <c r="M241" s="64"/>
      <c r="N241" s="64" t="s">
        <v>379</v>
      </c>
      <c r="P241" s="64"/>
      <c r="Q241" s="64" t="s">
        <v>379</v>
      </c>
      <c r="S241" t="s">
        <v>339</v>
      </c>
      <c r="V241" t="s">
        <v>340</v>
      </c>
      <c r="W241">
        <v>0.05</v>
      </c>
      <c r="Y241" t="s">
        <v>341</v>
      </c>
      <c r="Z241">
        <v>0</v>
      </c>
      <c r="AD241" t="s">
        <v>381</v>
      </c>
      <c r="AE241" t="s">
        <v>382</v>
      </c>
    </row>
    <row r="242" spans="3:31" ht="15" thickTop="1" x14ac:dyDescent="0.3">
      <c r="C242" s="2" t="s">
        <v>288</v>
      </c>
      <c r="D242" s="37" cm="1">
        <f t="array" aca="1" ref="D242" ca="1">INDIRECT("'" &amp; C242 &amp; "'!$E$46")</f>
        <v>6</v>
      </c>
      <c r="E242" s="37" cm="1">
        <f t="array" aca="1" ref="E242" ca="1">INDIRECT("'" &amp; C242 &amp; "'!$F$46")</f>
        <v>6</v>
      </c>
      <c r="G242" t="s">
        <v>301</v>
      </c>
      <c r="H242" s="65">
        <f ca="1">AVERAGE(D239:D259)</f>
        <v>5.7142857142857144</v>
      </c>
      <c r="J242" t="s">
        <v>332</v>
      </c>
      <c r="K242">
        <f ca="1">[1]!SHAPIRO(D239:D259)</f>
        <v>0.83146285447966473</v>
      </c>
      <c r="M242" t="s">
        <v>301</v>
      </c>
      <c r="N242" s="65">
        <f ca="1">AVERAGE(E239:E259)</f>
        <v>5.666666666666667</v>
      </c>
      <c r="P242" t="s">
        <v>332</v>
      </c>
      <c r="Q242">
        <f ca="1">[1]!SHAPIRO(E239:E259)</f>
        <v>0.73815009861631176</v>
      </c>
      <c r="S242" s="68" t="s">
        <v>342</v>
      </c>
      <c r="T242" s="68" t="s">
        <v>313</v>
      </c>
      <c r="U242" s="68" t="s">
        <v>301</v>
      </c>
      <c r="V242" s="68" t="s">
        <v>343</v>
      </c>
      <c r="W242" s="68" t="s">
        <v>344</v>
      </c>
      <c r="X242" s="68" t="s">
        <v>345</v>
      </c>
      <c r="Y242" s="68" t="s">
        <v>346</v>
      </c>
      <c r="Z242" s="68" t="s">
        <v>347</v>
      </c>
      <c r="AA242" s="68" t="s">
        <v>348</v>
      </c>
      <c r="AC242" t="s">
        <v>359</v>
      </c>
      <c r="AD242" s="102">
        <f ca="1">MEDIAN(D239:D259)</f>
        <v>6</v>
      </c>
      <c r="AE242" s="103">
        <f ca="1">MEDIAN(E239:E259)</f>
        <v>6</v>
      </c>
    </row>
    <row r="243" spans="3:31" x14ac:dyDescent="0.3">
      <c r="C243" s="2" t="s">
        <v>289</v>
      </c>
      <c r="D243" s="37" cm="1">
        <f t="array" aca="1" ref="D243" ca="1">INDIRECT("'" &amp; C243 &amp; "'!$E$46")</f>
        <v>6</v>
      </c>
      <c r="E243" s="37" cm="1">
        <f t="array" aca="1" ref="E243" ca="1">INDIRECT("'" &amp; C243 &amp; "'!$F$46")</f>
        <v>5</v>
      </c>
      <c r="G243" t="s">
        <v>302</v>
      </c>
      <c r="H243">
        <f ca="1">_xlfn.STDEV.S(D239:D259)/SQRT(COUNT(D239:D259))</f>
        <v>0.15649215928719071</v>
      </c>
      <c r="J243" t="s">
        <v>333</v>
      </c>
      <c r="K243">
        <f ca="1">[1]!SWTEST(D239:D259)</f>
        <v>2.0700468775852743E-3</v>
      </c>
      <c r="M243" t="s">
        <v>302</v>
      </c>
      <c r="N243">
        <f ca="1">_xlfn.STDEV.S(E239:E259)/SQRT(COUNT(E239:E259))</f>
        <v>0.12598815766974239</v>
      </c>
      <c r="P243" t="s">
        <v>333</v>
      </c>
      <c r="Q243">
        <f ca="1">[1]!SWTEST(E239:E259)</f>
        <v>8.5617177029928548E-5</v>
      </c>
      <c r="S243" t="s">
        <v>379</v>
      </c>
      <c r="T243">
        <f ca="1">COUNT(D239:D259)</f>
        <v>21</v>
      </c>
      <c r="U243" s="65">
        <f ca="1">AVERAGE(D239:D259)</f>
        <v>5.7142857142857144</v>
      </c>
      <c r="V243">
        <f ca="1">_xlfn.STDEV.S(D239:D259)</f>
        <v>0.71713716560063789</v>
      </c>
    </row>
    <row r="244" spans="3:31" x14ac:dyDescent="0.3">
      <c r="C244" s="2" t="s">
        <v>290</v>
      </c>
      <c r="D244" s="37" cm="1">
        <f t="array" aca="1" ref="D244" ca="1">INDIRECT("'" &amp; C244 &amp; "'!$E$46")</f>
        <v>5</v>
      </c>
      <c r="E244" s="37" cm="1">
        <f t="array" aca="1" ref="E244" ca="1">INDIRECT("'" &amp; C244 &amp; "'!$F$46")</f>
        <v>6</v>
      </c>
      <c r="G244" t="s">
        <v>303</v>
      </c>
      <c r="H244" s="65">
        <f ca="1">MEDIAN(D239:D259)</f>
        <v>6</v>
      </c>
      <c r="J244" t="s">
        <v>334</v>
      </c>
      <c r="K244">
        <v>0.05</v>
      </c>
      <c r="M244" t="s">
        <v>303</v>
      </c>
      <c r="N244" s="65">
        <f ca="1">MEDIAN(E239:E259)</f>
        <v>6</v>
      </c>
      <c r="P244" t="s">
        <v>334</v>
      </c>
      <c r="Q244">
        <v>0.05</v>
      </c>
      <c r="S244" t="s">
        <v>380</v>
      </c>
      <c r="T244">
        <f ca="1">COUNT(E239:E259)</f>
        <v>21</v>
      </c>
      <c r="U244" s="65">
        <f ca="1">AVERAGE(E239:E259)</f>
        <v>5.666666666666667</v>
      </c>
      <c r="V244">
        <f ca="1">_xlfn.STDEV.S(E239:E259)</f>
        <v>0.57735026918962562</v>
      </c>
      <c r="AC244" t="s">
        <v>360</v>
      </c>
      <c r="AD244" s="88">
        <f ca="1">SUMPRODUCT(--ISNUMBER(D239:D259),--ISNUMBER(E239:E259))</f>
        <v>21</v>
      </c>
    </row>
    <row r="245" spans="3:31" x14ac:dyDescent="0.3">
      <c r="C245" s="2" t="s">
        <v>291</v>
      </c>
      <c r="D245" s="37" cm="1">
        <f t="array" aca="1" ref="D245" ca="1">INDIRECT("'" &amp; C245 &amp; "'!$E$46")</f>
        <v>6</v>
      </c>
      <c r="E245" s="37" cm="1">
        <f t="array" aca="1" ref="E245" ca="1">INDIRECT("'" &amp; C245 &amp; "'!$F$46")</f>
        <v>6</v>
      </c>
      <c r="G245" t="s">
        <v>304</v>
      </c>
      <c r="H245">
        <f ca="1">MODE(D239:D259)</f>
        <v>6</v>
      </c>
      <c r="J245" s="63" t="s">
        <v>335</v>
      </c>
      <c r="K245" s="66" t="str">
        <f ca="1">IF(K243&lt;K244,"no","yes")</f>
        <v>no</v>
      </c>
      <c r="M245" t="s">
        <v>304</v>
      </c>
      <c r="N245">
        <f ca="1">MODE(E239:E259)</f>
        <v>6</v>
      </c>
      <c r="P245" s="63" t="s">
        <v>335</v>
      </c>
      <c r="Q245" s="66" t="str">
        <f ca="1">IF(Q243&lt;Q244,"no","yes")</f>
        <v>no</v>
      </c>
      <c r="S245" s="85" t="s">
        <v>349</v>
      </c>
      <c r="T245" s="85">
        <f ca="1">T244</f>
        <v>21</v>
      </c>
      <c r="U245" s="100">
        <f ca="1">U243-U244</f>
        <v>4.761904761904745E-2</v>
      </c>
      <c r="V245" s="85">
        <f t="array" aca="1" ref="V245" ca="1">_xlfn.STDEV.S(D239:D259-E239:E259)</f>
        <v>0.58959227235357115</v>
      </c>
      <c r="W245" s="85">
        <f ca="1">V245/SQRT(T245)</f>
        <v>0.12865958177244091</v>
      </c>
      <c r="X245" s="85">
        <f ca="1">(U243-U244-Z241)/W245</f>
        <v>0.37011660509880134</v>
      </c>
      <c r="Y245" s="85">
        <f ca="1">T245-1</f>
        <v>20</v>
      </c>
      <c r="Z245" s="85">
        <f ca="1">ABS(U243-U244-Z241)/V245</f>
        <v>8.0766064705968366E-2</v>
      </c>
      <c r="AA245" s="85">
        <f ca="1">SQRT(X245^2/(X245^2+Y245))</f>
        <v>8.247860988423196E-2</v>
      </c>
      <c r="AC245" t="s">
        <v>361</v>
      </c>
      <c r="AD245" s="74">
        <f ca="1">SUMPRODUCT(--ISNUMBER(D239:D259),--ISNUMBER(E239:E259),--(D239:D259&lt;&gt;E239:E259))</f>
        <v>7</v>
      </c>
    </row>
    <row r="246" spans="3:31" x14ac:dyDescent="0.3">
      <c r="C246" s="2" t="s">
        <v>292</v>
      </c>
      <c r="D246" s="37" cm="1">
        <f t="array" aca="1" ref="D246" ca="1">INDIRECT("'" &amp; C246 &amp; "'!$E$46")</f>
        <v>6</v>
      </c>
      <c r="E246" s="37" cm="1">
        <f t="array" aca="1" ref="E246" ca="1">INDIRECT("'" &amp; C246 &amp; "'!$F$46")</f>
        <v>6</v>
      </c>
      <c r="G246" t="s">
        <v>305</v>
      </c>
      <c r="H246">
        <f ca="1">_xlfn.STDEV.S(D239:D259)</f>
        <v>0.71713716560063789</v>
      </c>
      <c r="M246" t="s">
        <v>305</v>
      </c>
      <c r="N246">
        <f ca="1">_xlfn.STDEV.S(E239:E259)</f>
        <v>0.57735026918962562</v>
      </c>
      <c r="AC246" t="s">
        <v>362</v>
      </c>
      <c r="AD246" s="74">
        <f ca="1">IF(AD248&lt;=AD251,AD248,AD245*(AD245+1)/2)</f>
        <v>12</v>
      </c>
    </row>
    <row r="247" spans="3:31" ht="15" thickBot="1" x14ac:dyDescent="0.35">
      <c r="C247" s="2" t="s">
        <v>293</v>
      </c>
      <c r="D247" s="37" cm="1">
        <f t="array" aca="1" ref="D247" ca="1">INDIRECT("'" &amp; C247 &amp; "'!$E$46")</f>
        <v>7</v>
      </c>
      <c r="E247" s="37" cm="1">
        <f t="array" aca="1" ref="E247" ca="1">INDIRECT("'" &amp; C247 &amp; "'!$F$46")</f>
        <v>7</v>
      </c>
      <c r="G247" t="s">
        <v>306</v>
      </c>
      <c r="H247">
        <f ca="1">_xlfn.VAR.S(D239:D259)</f>
        <v>0.51428571428571668</v>
      </c>
      <c r="J247" t="s">
        <v>336</v>
      </c>
      <c r="M247" t="s">
        <v>306</v>
      </c>
      <c r="N247">
        <f ca="1">_xlfn.VAR.S(E239:E259)</f>
        <v>0.3333333333333332</v>
      </c>
      <c r="P247" t="s">
        <v>336</v>
      </c>
      <c r="S247" t="s">
        <v>350</v>
      </c>
      <c r="AC247" t="s">
        <v>363</v>
      </c>
      <c r="AD247" s="74">
        <f ca="1">AD245*(AD245+1)/2-AD246</f>
        <v>16</v>
      </c>
    </row>
    <row r="248" spans="3:31" ht="15" thickTop="1" x14ac:dyDescent="0.3">
      <c r="C248" s="2" t="s">
        <v>294</v>
      </c>
      <c r="D248" s="37" cm="1">
        <f t="array" aca="1" ref="D248" ca="1">INDIRECT("'" &amp; C248 &amp; "'!$E$46")</f>
        <v>6</v>
      </c>
      <c r="E248" s="37" cm="1">
        <f t="array" aca="1" ref="E248" ca="1">INDIRECT("'" &amp; C248 &amp; "'!$F$46")</f>
        <v>6</v>
      </c>
      <c r="G248" t="s">
        <v>307</v>
      </c>
      <c r="H248">
        <f ca="1">KURT(D239:D259)</f>
        <v>0.51169590643275287</v>
      </c>
      <c r="M248" t="s">
        <v>307</v>
      </c>
      <c r="N248">
        <f ca="1">KURT(E239:E259)</f>
        <v>-0.5368421052631529</v>
      </c>
      <c r="S248" s="68" t="s">
        <v>351</v>
      </c>
      <c r="T248" s="68" t="s">
        <v>333</v>
      </c>
      <c r="U248" s="68" t="s">
        <v>352</v>
      </c>
      <c r="V248" s="68" t="s">
        <v>353</v>
      </c>
      <c r="W248" s="68" t="s">
        <v>354</v>
      </c>
      <c r="X248" s="68" t="s">
        <v>355</v>
      </c>
      <c r="AC248" t="s">
        <v>364</v>
      </c>
      <c r="AD248" s="75">
        <f ca="1">[1]!SRANK(D239:D259,E239:E259)</f>
        <v>12</v>
      </c>
    </row>
    <row r="249" spans="3:31" x14ac:dyDescent="0.3">
      <c r="C249" s="2" t="s">
        <v>295</v>
      </c>
      <c r="D249" s="37" cm="1">
        <f t="array" aca="1" ref="D249" ca="1">INDIRECT("'" &amp; C249 &amp; "'!$E$46")</f>
        <v>5</v>
      </c>
      <c r="E249" s="37" cm="1">
        <f t="array" aca="1" ref="E249" ca="1">INDIRECT("'" &amp; C249 &amp; "'!$F$46")</f>
        <v>6</v>
      </c>
      <c r="G249" t="s">
        <v>308</v>
      </c>
      <c r="H249">
        <f ca="1">SKEW(D239:D259)</f>
        <v>-0.40365176718749324</v>
      </c>
      <c r="J249" s="85" t="s">
        <v>337</v>
      </c>
      <c r="K249" s="85">
        <f ca="1">[1]!DAGOSTINO(D239:D259)</f>
        <v>1.2622438376326959</v>
      </c>
      <c r="M249" t="s">
        <v>308</v>
      </c>
      <c r="N249">
        <f ca="1">SKEW(E239:E259)</f>
        <v>0.12762479634717866</v>
      </c>
      <c r="P249" s="85" t="s">
        <v>337</v>
      </c>
      <c r="Q249" s="85">
        <f ca="1">[1]!DAGOSTINO(E239:E259)</f>
        <v>0.29106766087989905</v>
      </c>
      <c r="S249" t="s">
        <v>356</v>
      </c>
      <c r="T249">
        <f ca="1">_xlfn.T.DIST.RT(ABS(X245),Y245)</f>
        <v>0.35759305792426843</v>
      </c>
      <c r="U249">
        <f ca="1">_xlfn.T.INV.2T(W241*2,Y245)</f>
        <v>1.7247182429207868</v>
      </c>
      <c r="X249" s="70" t="str">
        <f ca="1">IF(T249&lt;W241,"yes","no")</f>
        <v>no</v>
      </c>
    </row>
    <row r="250" spans="3:31" x14ac:dyDescent="0.3">
      <c r="C250" s="2" t="s">
        <v>296</v>
      </c>
      <c r="D250" s="37" cm="1">
        <f t="array" aca="1" ref="D250" ca="1">INDIRECT("'" &amp; C250 &amp; "'!$E$46")</f>
        <v>6</v>
      </c>
      <c r="E250" s="37" cm="1">
        <f t="array" aca="1" ref="E250" ca="1">INDIRECT("'" &amp; C250 &amp; "'!$F$46")</f>
        <v>6</v>
      </c>
      <c r="G250" t="s">
        <v>309</v>
      </c>
      <c r="H250">
        <f ca="1">H251-H252</f>
        <v>3</v>
      </c>
      <c r="J250" t="s">
        <v>333</v>
      </c>
      <c r="K250">
        <f ca="1">[1]!DPTEST(D239:D259)</f>
        <v>0.53199461130573655</v>
      </c>
      <c r="M250" t="s">
        <v>309</v>
      </c>
      <c r="N250">
        <f ca="1">N251-N252</f>
        <v>2</v>
      </c>
      <c r="P250" t="s">
        <v>333</v>
      </c>
      <c r="Q250">
        <f ca="1">[1]!DPTEST(E239:E259)</f>
        <v>0.86456064111235187</v>
      </c>
      <c r="S250" t="s">
        <v>357</v>
      </c>
      <c r="T250">
        <f ca="1">_xlfn.T.DIST.2T(ABS(X245),Y245)</f>
        <v>0.71518611584853686</v>
      </c>
      <c r="U250">
        <f ca="1">_xlfn.T.INV.2T(W241,Y245)</f>
        <v>2.0859634472658648</v>
      </c>
      <c r="V250">
        <f ca="1">(U243-U244)-W245*U250</f>
        <v>-0.22076013709877784</v>
      </c>
      <c r="W250">
        <f ca="1">(U243-U244)+W245*U250</f>
        <v>0.31599823233687274</v>
      </c>
      <c r="X250" s="70" t="str">
        <f ca="1">IF(T250&lt;W241,"yes","no")</f>
        <v>no</v>
      </c>
      <c r="AD250" s="70" t="s">
        <v>365</v>
      </c>
      <c r="AE250" s="70" t="s">
        <v>366</v>
      </c>
    </row>
    <row r="251" spans="3:31" x14ac:dyDescent="0.3">
      <c r="C251" s="2" t="s">
        <v>297</v>
      </c>
      <c r="D251" s="37" cm="1">
        <f t="array" aca="1" ref="D251" ca="1">INDIRECT("'" &amp; C251 &amp; "'!$E$46")</f>
        <v>6</v>
      </c>
      <c r="E251" s="37" cm="1">
        <f t="array" aca="1" ref="E251" ca="1">INDIRECT("'" &amp; C251 &amp; "'!$F$46")</f>
        <v>6</v>
      </c>
      <c r="G251" t="s">
        <v>310</v>
      </c>
      <c r="H251" s="65">
        <f ca="1">MAX(D239:D259)</f>
        <v>7</v>
      </c>
      <c r="J251" t="s">
        <v>334</v>
      </c>
      <c r="K251">
        <v>0.05</v>
      </c>
      <c r="M251" t="s">
        <v>310</v>
      </c>
      <c r="N251" s="65">
        <f ca="1">MAX(E239:E259)</f>
        <v>7</v>
      </c>
      <c r="P251" t="s">
        <v>334</v>
      </c>
      <c r="Q251">
        <v>0.05</v>
      </c>
      <c r="S251" s="85"/>
      <c r="T251" s="85"/>
      <c r="U251" s="85"/>
      <c r="V251" s="85"/>
      <c r="W251" s="85"/>
      <c r="X251" s="85"/>
      <c r="AC251" t="s">
        <v>367</v>
      </c>
      <c r="AD251" s="88">
        <f ca="1">AD245*(AD245+1)/4</f>
        <v>14</v>
      </c>
    </row>
    <row r="252" spans="3:31" x14ac:dyDescent="0.3">
      <c r="C252" s="2" t="s">
        <v>298</v>
      </c>
      <c r="D252" s="37" cm="1">
        <f t="array" aca="1" ref="D252" ca="1">INDIRECT("'" &amp; C252 &amp; "'!$E$46")</f>
        <v>4</v>
      </c>
      <c r="E252" s="37" cm="1">
        <f t="array" aca="1" ref="E252" ca="1">INDIRECT("'" &amp; C252 &amp; "'!$F$46")</f>
        <v>5</v>
      </c>
      <c r="G252" t="s">
        <v>311</v>
      </c>
      <c r="H252" s="65">
        <f ca="1">MIN(D239:D259)</f>
        <v>4</v>
      </c>
      <c r="J252" s="63" t="s">
        <v>335</v>
      </c>
      <c r="K252" s="66" t="str">
        <f ca="1">IF(K250&lt;K251,"no","yes")</f>
        <v>yes</v>
      </c>
      <c r="M252" t="s">
        <v>311</v>
      </c>
      <c r="N252" s="65">
        <f ca="1">MIN(E239:E259)</f>
        <v>5</v>
      </c>
      <c r="P252" s="63" t="s">
        <v>335</v>
      </c>
      <c r="Q252" s="66" t="str">
        <f ca="1">IF(Q250&lt;Q251,"no","yes")</f>
        <v>yes</v>
      </c>
      <c r="AC252" t="s">
        <v>368</v>
      </c>
      <c r="AD252" s="74">
        <f ca="1">SQRT(AD251*(2*AD245+1)/6-[1]!TiesCorrection(D239:D259,E239:E259,1)/48)</f>
        <v>5.2915026221291814</v>
      </c>
      <c r="AE252" t="s">
        <v>369</v>
      </c>
    </row>
    <row r="253" spans="3:31" x14ac:dyDescent="0.3">
      <c r="C253" s="2" t="s">
        <v>299</v>
      </c>
      <c r="D253" s="37" cm="1">
        <f t="array" aca="1" ref="D253" ca="1">INDIRECT("'" &amp; C253 &amp; "'!$E$46")</f>
        <v>5</v>
      </c>
      <c r="E253" s="37" cm="1">
        <f t="array" aca="1" ref="E253" ca="1">INDIRECT("'" &amp; C253 &amp; "'!$F$46")</f>
        <v>5</v>
      </c>
      <c r="G253" t="s">
        <v>312</v>
      </c>
      <c r="H253" s="65">
        <f ca="1">SUM(D239:D259)</f>
        <v>120</v>
      </c>
      <c r="M253" t="s">
        <v>312</v>
      </c>
      <c r="N253" s="65">
        <f ca="1">SUM(E239:E259)</f>
        <v>119</v>
      </c>
      <c r="AC253" t="s">
        <v>370</v>
      </c>
      <c r="AD253" s="74">
        <f ca="1">ABS(ABS(AD248-AD251)-1/2)/AD252</f>
        <v>0.28347335475692043</v>
      </c>
      <c r="AE253" t="s">
        <v>371</v>
      </c>
    </row>
    <row r="254" spans="3:31" x14ac:dyDescent="0.3">
      <c r="C254" s="2" t="s">
        <v>395</v>
      </c>
      <c r="D254" s="37" cm="1">
        <f t="array" aca="1" ref="D254" ca="1">INDIRECT("'" &amp; C254 &amp; "'!$E$46")</f>
        <v>5</v>
      </c>
      <c r="E254" s="37" cm="1">
        <f t="array" aca="1" ref="E254" ca="1">INDIRECT("'" &amp; C254 &amp; "'!$F$46")</f>
        <v>5</v>
      </c>
      <c r="G254" t="s">
        <v>313</v>
      </c>
      <c r="H254">
        <f ca="1">COUNT(D239:D259)</f>
        <v>21</v>
      </c>
      <c r="M254" t="s">
        <v>313</v>
      </c>
      <c r="N254">
        <f ca="1">COUNT(E239:E259)</f>
        <v>21</v>
      </c>
      <c r="AC254" t="s">
        <v>372</v>
      </c>
      <c r="AD254" s="74">
        <f ca="1">AD253/SQRT(AD245)</f>
        <v>0.10714285714285714</v>
      </c>
    </row>
    <row r="255" spans="3:31" x14ac:dyDescent="0.3">
      <c r="C255" s="2" t="s">
        <v>396</v>
      </c>
      <c r="D255" s="37" cm="1">
        <f t="array" aca="1" ref="D255" ca="1">INDIRECT("'" &amp; C255 &amp; "'!$E$46")</f>
        <v>6</v>
      </c>
      <c r="E255" s="37" cm="1">
        <f t="array" aca="1" ref="E255" ca="1">INDIRECT("'" &amp; C255 &amp; "'!$F$46")</f>
        <v>6</v>
      </c>
      <c r="G255" t="s">
        <v>314</v>
      </c>
      <c r="H255">
        <f ca="1">GEOMEAN(D239:D259)</f>
        <v>5.6691588212536503</v>
      </c>
      <c r="M255" t="s">
        <v>314</v>
      </c>
      <c r="N255">
        <f ca="1">GEOMEAN(E239:E259)</f>
        <v>5.6386470198355543</v>
      </c>
      <c r="AC255" t="s">
        <v>373</v>
      </c>
      <c r="AD255" s="88">
        <f ca="1">1-_xlfn.NORM.S.DIST(AD253,TRUE)</f>
        <v>0.38840700207774093</v>
      </c>
      <c r="AE255" s="104">
        <f ca="1">2*AD255</f>
        <v>0.77681400415548185</v>
      </c>
    </row>
    <row r="256" spans="3:31" x14ac:dyDescent="0.3">
      <c r="C256" s="2" t="s">
        <v>397</v>
      </c>
      <c r="D256" s="37" cm="1">
        <f t="array" aca="1" ref="D256" ca="1">INDIRECT("'" &amp; C256 &amp; "'!$E$46")</f>
        <v>6</v>
      </c>
      <c r="E256" s="37" cm="1">
        <f t="array" aca="1" ref="E256" ca="1">INDIRECT("'" &amp; C256 &amp; "'!$F$46")</f>
        <v>6</v>
      </c>
      <c r="G256" t="s">
        <v>315</v>
      </c>
      <c r="H256">
        <f ca="1">HARMEAN(D239:D259)</f>
        <v>5.6214149139579348</v>
      </c>
      <c r="M256" t="s">
        <v>315</v>
      </c>
      <c r="N256">
        <f ca="1">HARMEAN(E239:E259)</f>
        <v>5.6106870229007635</v>
      </c>
      <c r="AC256" t="s">
        <v>374</v>
      </c>
      <c r="AD256" s="74">
        <f ca="1">[1]!SRDIST(AD248,AD245,1)</f>
        <v>0.40625</v>
      </c>
      <c r="AE256" s="77">
        <f ca="1">2*AD256</f>
        <v>0.8125</v>
      </c>
    </row>
    <row r="257" spans="3:31" x14ac:dyDescent="0.3">
      <c r="C257" s="2" t="s">
        <v>398</v>
      </c>
      <c r="D257" s="37" cm="1">
        <f t="array" aca="1" ref="D257" ca="1">INDIRECT("'" &amp; C257 &amp; "'!$E$46")</f>
        <v>5</v>
      </c>
      <c r="E257" s="37" cm="1">
        <f t="array" aca="1" ref="E257" ca="1">INDIRECT("'" &amp; C257 &amp; "'!$F$46")</f>
        <v>5</v>
      </c>
      <c r="G257" t="s">
        <v>316</v>
      </c>
      <c r="H257">
        <f ca="1">AVEDEV(D239:D259)</f>
        <v>0.5714285714285714</v>
      </c>
      <c r="M257" t="s">
        <v>316</v>
      </c>
      <c r="N257">
        <f ca="1">AVEDEV(E239:E259)</f>
        <v>0.5079365079365078</v>
      </c>
      <c r="AC257" t="s">
        <v>375</v>
      </c>
      <c r="AD257" s="75" t="s">
        <v>376</v>
      </c>
      <c r="AE257" s="78" t="s">
        <v>376</v>
      </c>
    </row>
    <row r="258" spans="3:31" x14ac:dyDescent="0.3">
      <c r="C258" s="2" t="s">
        <v>399</v>
      </c>
      <c r="D258" s="37" cm="1">
        <f t="array" aca="1" ref="D258" ca="1">INDIRECT("'" &amp; C258 &amp; "'!$E$46")</f>
        <v>6</v>
      </c>
      <c r="E258" s="37" cm="1">
        <f t="array" aca="1" ref="E258" ca="1">INDIRECT("'" &amp; C258 &amp; "'!$F$46")</f>
        <v>6</v>
      </c>
      <c r="G258" t="s">
        <v>317</v>
      </c>
      <c r="H258">
        <f ca="1">[1]!MAD(D239:D259)</f>
        <v>0</v>
      </c>
      <c r="M258" t="s">
        <v>317</v>
      </c>
      <c r="N258">
        <f ca="1">[1]!MAD(E239:E259)</f>
        <v>0</v>
      </c>
    </row>
    <row r="259" spans="3:31" x14ac:dyDescent="0.3">
      <c r="C259" s="2" t="s">
        <v>400</v>
      </c>
      <c r="D259" s="37" cm="1">
        <f t="array" aca="1" ref="D259" ca="1">INDIRECT("'" &amp; C259 &amp; "'!$E$46")</f>
        <v>5</v>
      </c>
      <c r="E259" s="37" cm="1">
        <f t="array" aca="1" ref="E259" ca="1">INDIRECT("'" &amp; C259 &amp; "'!$F$46")</f>
        <v>5</v>
      </c>
      <c r="G259" s="63" t="s">
        <v>318</v>
      </c>
      <c r="H259" s="63">
        <f ca="1">[1]!IQR(D239:D259,FALSE)</f>
        <v>1</v>
      </c>
      <c r="M259" s="63" t="s">
        <v>318</v>
      </c>
      <c r="N259" s="63">
        <f ca="1">[1]!IQR(E239:E259,FALSE)</f>
        <v>1</v>
      </c>
    </row>
    <row r="263" spans="3:31" x14ac:dyDescent="0.3">
      <c r="C263" s="2"/>
      <c r="D263" s="58" t="s">
        <v>87</v>
      </c>
      <c r="E263" s="2"/>
    </row>
    <row r="264" spans="3:31" x14ac:dyDescent="0.3">
      <c r="C264" s="2"/>
      <c r="D264" s="2"/>
      <c r="E264" s="2"/>
    </row>
    <row r="265" spans="3:31" x14ac:dyDescent="0.3">
      <c r="C265" s="2" t="s">
        <v>285</v>
      </c>
      <c r="D265" s="37" cm="1">
        <f t="array" aca="1" ref="D265" ca="1">INDIRECT("'" &amp; C265 &amp; "'!$E$47")</f>
        <v>3</v>
      </c>
      <c r="E265" s="37" cm="1">
        <f t="array" aca="1" ref="E265" ca="1">INDIRECT("'" &amp; C265 &amp; "'!$F$47")</f>
        <v>3</v>
      </c>
      <c r="G265" t="s">
        <v>300</v>
      </c>
      <c r="J265" t="s">
        <v>331</v>
      </c>
      <c r="M265" t="s">
        <v>300</v>
      </c>
      <c r="P265" t="s">
        <v>331</v>
      </c>
      <c r="S265" t="s">
        <v>338</v>
      </c>
      <c r="AC265" t="s">
        <v>358</v>
      </c>
    </row>
    <row r="266" spans="3:31" x14ac:dyDescent="0.3">
      <c r="C266" s="2" t="s">
        <v>286</v>
      </c>
      <c r="D266" s="37" cm="1">
        <f t="array" aca="1" ref="D266" ca="1">INDIRECT("'" &amp; C266 &amp; "'!$E$47")</f>
        <v>3</v>
      </c>
      <c r="E266" s="37" cm="1">
        <f t="array" aca="1" ref="E266" ca="1">INDIRECT("'" &amp; C266 &amp; "'!$F$47")</f>
        <v>3</v>
      </c>
    </row>
    <row r="267" spans="3:31" ht="15" thickBot="1" x14ac:dyDescent="0.35">
      <c r="C267" s="2" t="s">
        <v>287</v>
      </c>
      <c r="D267" s="37" cm="1">
        <f t="array" aca="1" ref="D267" ca="1">INDIRECT("'" &amp; C267 &amp; "'!$E$47")</f>
        <v>5</v>
      </c>
      <c r="E267" s="37" cm="1">
        <f t="array" aca="1" ref="E267" ca="1">INDIRECT("'" &amp; C267 &amp; "'!$F$47")</f>
        <v>4</v>
      </c>
      <c r="G267" s="64"/>
      <c r="H267" s="64" t="s">
        <v>379</v>
      </c>
      <c r="J267" s="64"/>
      <c r="K267" s="64" t="s">
        <v>379</v>
      </c>
      <c r="M267" s="64"/>
      <c r="N267" s="64" t="s">
        <v>379</v>
      </c>
      <c r="P267" s="64"/>
      <c r="Q267" s="64" t="s">
        <v>379</v>
      </c>
      <c r="S267" t="s">
        <v>339</v>
      </c>
      <c r="V267" t="s">
        <v>340</v>
      </c>
      <c r="W267">
        <v>0.05</v>
      </c>
      <c r="Y267" t="s">
        <v>341</v>
      </c>
      <c r="Z267">
        <v>0</v>
      </c>
      <c r="AD267" t="s">
        <v>381</v>
      </c>
      <c r="AE267" t="s">
        <v>382</v>
      </c>
    </row>
    <row r="268" spans="3:31" ht="15" thickTop="1" x14ac:dyDescent="0.3">
      <c r="C268" s="2" t="s">
        <v>288</v>
      </c>
      <c r="D268" s="37" cm="1">
        <f t="array" aca="1" ref="D268" ca="1">INDIRECT("'" &amp; C268 &amp; "'!$E$47")</f>
        <v>4</v>
      </c>
      <c r="E268" s="37" cm="1">
        <f t="array" aca="1" ref="E268" ca="1">INDIRECT("'" &amp; C268 &amp; "'!$F$47")</f>
        <v>4</v>
      </c>
      <c r="G268" t="s">
        <v>301</v>
      </c>
      <c r="H268" s="65">
        <f ca="1">AVERAGE(D265:D285)</f>
        <v>3.4761904761904763</v>
      </c>
      <c r="J268" t="s">
        <v>332</v>
      </c>
      <c r="K268">
        <f ca="1">[1]!SHAPIRO(D265:D285)</f>
        <v>0.86954966352535146</v>
      </c>
      <c r="M268" t="s">
        <v>301</v>
      </c>
      <c r="N268" s="65">
        <f ca="1">AVERAGE(E265:E285)</f>
        <v>3.5238095238095237</v>
      </c>
      <c r="P268" t="s">
        <v>332</v>
      </c>
      <c r="Q268">
        <f ca="1">[1]!SHAPIRO(E265:E285)</f>
        <v>0.86566153097642518</v>
      </c>
      <c r="S268" s="68" t="s">
        <v>342</v>
      </c>
      <c r="T268" s="68" t="s">
        <v>313</v>
      </c>
      <c r="U268" s="68" t="s">
        <v>301</v>
      </c>
      <c r="V268" s="68" t="s">
        <v>343</v>
      </c>
      <c r="W268" s="68" t="s">
        <v>344</v>
      </c>
      <c r="X268" s="68" t="s">
        <v>345</v>
      </c>
      <c r="Y268" s="68" t="s">
        <v>346</v>
      </c>
      <c r="Z268" s="68" t="s">
        <v>347</v>
      </c>
      <c r="AA268" s="68" t="s">
        <v>348</v>
      </c>
      <c r="AC268" t="s">
        <v>359</v>
      </c>
      <c r="AD268" s="102">
        <f ca="1">MEDIAN(D265:D285)</f>
        <v>3</v>
      </c>
      <c r="AE268" s="103">
        <f ca="1">MEDIAN(E265:E285)</f>
        <v>3</v>
      </c>
    </row>
    <row r="269" spans="3:31" x14ac:dyDescent="0.3">
      <c r="C269" s="2" t="s">
        <v>289</v>
      </c>
      <c r="D269" s="37" cm="1">
        <f t="array" aca="1" ref="D269" ca="1">INDIRECT("'" &amp; C269 &amp; "'!$E$47")</f>
        <v>3</v>
      </c>
      <c r="E269" s="37" cm="1">
        <f t="array" aca="1" ref="E269" ca="1">INDIRECT("'" &amp; C269 &amp; "'!$F$47")</f>
        <v>3</v>
      </c>
      <c r="G269" t="s">
        <v>302</v>
      </c>
      <c r="H269">
        <f ca="1">_xlfn.STDEV.S(D265:D285)/SQRT(COUNT(D265:D285))</f>
        <v>0.26384562242276327</v>
      </c>
      <c r="J269" t="s">
        <v>333</v>
      </c>
      <c r="K269">
        <f ca="1">[1]!SWTEST(D265:D285)</f>
        <v>9.4016348074377198E-3</v>
      </c>
      <c r="M269" t="s">
        <v>302</v>
      </c>
      <c r="N269">
        <f ca="1">_xlfn.STDEV.S(E265:E285)/SQRT(COUNT(E265:E285))</f>
        <v>0.24513405097588098</v>
      </c>
      <c r="P269" t="s">
        <v>333</v>
      </c>
      <c r="Q269">
        <f ca="1">[1]!SWTEST(E265:E285)</f>
        <v>8.0028719143288019E-3</v>
      </c>
      <c r="S269" t="s">
        <v>379</v>
      </c>
      <c r="T269">
        <f ca="1">COUNT(D265:D285)</f>
        <v>21</v>
      </c>
      <c r="U269" s="65">
        <f ca="1">AVERAGE(D265:D285)</f>
        <v>3.4761904761904763</v>
      </c>
      <c r="V269">
        <f ca="1">_xlfn.STDEV.S(D265:D285)</f>
        <v>1.2090925365350504</v>
      </c>
    </row>
    <row r="270" spans="3:31" x14ac:dyDescent="0.3">
      <c r="C270" s="2" t="s">
        <v>290</v>
      </c>
      <c r="D270" s="37" cm="1">
        <f t="array" aca="1" ref="D270" ca="1">INDIRECT("'" &amp; C270 &amp; "'!$E$47")</f>
        <v>2</v>
      </c>
      <c r="E270" s="37" cm="1">
        <f t="array" aca="1" ref="E270" ca="1">INDIRECT("'" &amp; C270 &amp; "'!$F$47")</f>
        <v>2</v>
      </c>
      <c r="G270" t="s">
        <v>303</v>
      </c>
      <c r="H270" s="65">
        <f ca="1">MEDIAN(D265:D285)</f>
        <v>3</v>
      </c>
      <c r="J270" t="s">
        <v>334</v>
      </c>
      <c r="K270">
        <v>0.05</v>
      </c>
      <c r="M270" t="s">
        <v>303</v>
      </c>
      <c r="N270" s="65">
        <f ca="1">MEDIAN(E265:E285)</f>
        <v>3</v>
      </c>
      <c r="P270" t="s">
        <v>334</v>
      </c>
      <c r="Q270">
        <v>0.05</v>
      </c>
      <c r="S270" t="s">
        <v>380</v>
      </c>
      <c r="T270">
        <f ca="1">COUNT(E265:E285)</f>
        <v>21</v>
      </c>
      <c r="U270" s="65">
        <f ca="1">AVERAGE(E265:E285)</f>
        <v>3.5238095238095237</v>
      </c>
      <c r="V270">
        <f ca="1">_xlfn.STDEV.S(E265:E285)</f>
        <v>1.123345344008138</v>
      </c>
      <c r="AC270" t="s">
        <v>360</v>
      </c>
      <c r="AD270" s="88">
        <f ca="1">SUMPRODUCT(--ISNUMBER(D265:D285),--ISNUMBER(E265:E285))</f>
        <v>21</v>
      </c>
    </row>
    <row r="271" spans="3:31" x14ac:dyDescent="0.3">
      <c r="C271" s="2" t="s">
        <v>291</v>
      </c>
      <c r="D271" s="37" cm="1">
        <f t="array" aca="1" ref="D271" ca="1">INDIRECT("'" &amp; C271 &amp; "'!$E$47")</f>
        <v>3</v>
      </c>
      <c r="E271" s="37" cm="1">
        <f t="array" aca="1" ref="E271" ca="1">INDIRECT("'" &amp; C271 &amp; "'!$F$47")</f>
        <v>3</v>
      </c>
      <c r="G271" t="s">
        <v>304</v>
      </c>
      <c r="H271">
        <f ca="1">MODE(D265:D285)</f>
        <v>3</v>
      </c>
      <c r="J271" s="63" t="s">
        <v>335</v>
      </c>
      <c r="K271" s="66" t="str">
        <f ca="1">IF(K269&lt;K270,"no","yes")</f>
        <v>no</v>
      </c>
      <c r="M271" t="s">
        <v>304</v>
      </c>
      <c r="N271">
        <f ca="1">MODE(E265:E285)</f>
        <v>3</v>
      </c>
      <c r="P271" s="63" t="s">
        <v>335</v>
      </c>
      <c r="Q271" s="66" t="str">
        <f ca="1">IF(Q269&lt;Q270,"no","yes")</f>
        <v>no</v>
      </c>
      <c r="S271" s="85" t="s">
        <v>349</v>
      </c>
      <c r="T271" s="85">
        <f ca="1">T270</f>
        <v>21</v>
      </c>
      <c r="U271" s="100">
        <f ca="1">U269-U270</f>
        <v>-4.761904761904745E-2</v>
      </c>
      <c r="V271" s="85">
        <f t="array" aca="1" ref="V271" ca="1">_xlfn.STDEV.S(D265:D285-E265:E285)</f>
        <v>0.49761335152811931</v>
      </c>
      <c r="W271" s="85">
        <f ca="1">V271/SQRT(T271)</f>
        <v>0.10858813572372744</v>
      </c>
      <c r="X271" s="85">
        <f ca="1">(U269-U270-Z267)/W271</f>
        <v>-0.43852900965351299</v>
      </c>
      <c r="Y271" s="85">
        <f ca="1">T271-1</f>
        <v>20</v>
      </c>
      <c r="Z271" s="85">
        <f ca="1">ABS(U269-U270-Z267)/V271</f>
        <v>9.5694875293868747E-2</v>
      </c>
      <c r="AA271" s="85">
        <f ca="1">SQRT(X271^2/(X271^2+Y271))</f>
        <v>9.7590007294852968E-2</v>
      </c>
      <c r="AC271" t="s">
        <v>361</v>
      </c>
      <c r="AD271" s="74">
        <f ca="1">SUMPRODUCT(--ISNUMBER(D265:D285),--ISNUMBER(E265:E285),--(D265:D285&lt;&gt;E265:E285))</f>
        <v>5</v>
      </c>
    </row>
    <row r="272" spans="3:31" x14ac:dyDescent="0.3">
      <c r="C272" s="2" t="s">
        <v>292</v>
      </c>
      <c r="D272" s="37" cm="1">
        <f t="array" aca="1" ref="D272" ca="1">INDIRECT("'" &amp; C272 &amp; "'!$E$47")</f>
        <v>2</v>
      </c>
      <c r="E272" s="37" cm="1">
        <f t="array" aca="1" ref="E272" ca="1">INDIRECT("'" &amp; C272 &amp; "'!$F$47")</f>
        <v>2</v>
      </c>
      <c r="G272" t="s">
        <v>305</v>
      </c>
      <c r="H272">
        <f ca="1">_xlfn.STDEV.S(D265:D285)</f>
        <v>1.2090925365350504</v>
      </c>
      <c r="M272" t="s">
        <v>305</v>
      </c>
      <c r="N272">
        <f ca="1">_xlfn.STDEV.S(E265:E285)</f>
        <v>1.123345344008138</v>
      </c>
      <c r="AC272" t="s">
        <v>362</v>
      </c>
      <c r="AD272" s="74">
        <f ca="1">IF(AD274&lt;=AD277,AD274,AD271*(AD271+1)/2)</f>
        <v>6</v>
      </c>
    </row>
    <row r="273" spans="3:31" ht="15" thickBot="1" x14ac:dyDescent="0.35">
      <c r="C273" s="2" t="s">
        <v>293</v>
      </c>
      <c r="D273" s="37" cm="1">
        <f t="array" aca="1" ref="D273" ca="1">INDIRECT("'" &amp; C273 &amp; "'!$E$47")</f>
        <v>3</v>
      </c>
      <c r="E273" s="37" cm="1">
        <f t="array" aca="1" ref="E273" ca="1">INDIRECT("'" &amp; C273 &amp; "'!$F$47")</f>
        <v>4</v>
      </c>
      <c r="G273" t="s">
        <v>306</v>
      </c>
      <c r="H273">
        <f ca="1">_xlfn.VAR.S(D265:D285)</f>
        <v>1.461904761904762</v>
      </c>
      <c r="J273" t="s">
        <v>336</v>
      </c>
      <c r="M273" t="s">
        <v>306</v>
      </c>
      <c r="N273">
        <f ca="1">_xlfn.VAR.S(E265:E285)</f>
        <v>1.2619047619047621</v>
      </c>
      <c r="P273" t="s">
        <v>336</v>
      </c>
      <c r="S273" t="s">
        <v>350</v>
      </c>
      <c r="AC273" t="s">
        <v>363</v>
      </c>
      <c r="AD273" s="74">
        <f ca="1">AD271*(AD271+1)/2-AD272</f>
        <v>9</v>
      </c>
    </row>
    <row r="274" spans="3:31" ht="15" thickTop="1" x14ac:dyDescent="0.3">
      <c r="C274" s="2" t="s">
        <v>294</v>
      </c>
      <c r="D274" s="37" cm="1">
        <f t="array" aca="1" ref="D274" ca="1">INDIRECT("'" &amp; C274 &amp; "'!$E$47")</f>
        <v>6</v>
      </c>
      <c r="E274" s="37" cm="1">
        <f t="array" aca="1" ref="E274" ca="1">INDIRECT("'" &amp; C274 &amp; "'!$F$47")</f>
        <v>6</v>
      </c>
      <c r="G274" t="s">
        <v>307</v>
      </c>
      <c r="H274">
        <f ca="1">KURT(D265:D285)</f>
        <v>2.0991427523171957E-2</v>
      </c>
      <c r="M274" t="s">
        <v>307</v>
      </c>
      <c r="N274">
        <f ca="1">KURT(E265:E285)</f>
        <v>0.60988177099923169</v>
      </c>
      <c r="S274" s="68" t="s">
        <v>351</v>
      </c>
      <c r="T274" s="68" t="s">
        <v>333</v>
      </c>
      <c r="U274" s="68" t="s">
        <v>352</v>
      </c>
      <c r="V274" s="68" t="s">
        <v>353</v>
      </c>
      <c r="W274" s="68" t="s">
        <v>354</v>
      </c>
      <c r="X274" s="68" t="s">
        <v>355</v>
      </c>
      <c r="AC274" t="s">
        <v>364</v>
      </c>
      <c r="AD274" s="75">
        <f ca="1">[1]!SRANK(D265:D285,E265:E285)</f>
        <v>6</v>
      </c>
    </row>
    <row r="275" spans="3:31" x14ac:dyDescent="0.3">
      <c r="C275" s="2" t="s">
        <v>295</v>
      </c>
      <c r="D275" s="37" cm="1">
        <f t="array" aca="1" ref="D275" ca="1">INDIRECT("'" &amp; C275 &amp; "'!$E$47")</f>
        <v>4</v>
      </c>
      <c r="E275" s="37" cm="1">
        <f t="array" aca="1" ref="E275" ca="1">INDIRECT("'" &amp; C275 &amp; "'!$F$47")</f>
        <v>4</v>
      </c>
      <c r="G275" t="s">
        <v>308</v>
      </c>
      <c r="H275">
        <f ca="1">SKEW(D265:D285)</f>
        <v>0.81175313436203633</v>
      </c>
      <c r="J275" s="85" t="s">
        <v>337</v>
      </c>
      <c r="K275" s="85">
        <f ca="1">[1]!DAGOSTINO(D265:D285)</f>
        <v>2.7338058180220179</v>
      </c>
      <c r="M275" t="s">
        <v>308</v>
      </c>
      <c r="N275">
        <f ca="1">SKEW(E265:E285)</f>
        <v>0.87021956828516711</v>
      </c>
      <c r="P275" s="85" t="s">
        <v>337</v>
      </c>
      <c r="Q275" s="85">
        <f ca="1">[1]!DAGOSTINO(E265:E285)</f>
        <v>3.7058523387347488</v>
      </c>
      <c r="S275" t="s">
        <v>356</v>
      </c>
      <c r="T275">
        <f ca="1">_xlfn.T.DIST.RT(ABS(X271),Y271)</f>
        <v>0.33285163014852104</v>
      </c>
      <c r="U275">
        <f ca="1">_xlfn.T.INV.2T(W267*2,Y271)</f>
        <v>1.7247182429207868</v>
      </c>
      <c r="X275" s="70" t="str">
        <f ca="1">IF(T275&lt;W267,"yes","no")</f>
        <v>no</v>
      </c>
    </row>
    <row r="276" spans="3:31" x14ac:dyDescent="0.3">
      <c r="C276" s="2" t="s">
        <v>296</v>
      </c>
      <c r="D276" s="37" cm="1">
        <f t="array" aca="1" ref="D276" ca="1">INDIRECT("'" &amp; C276 &amp; "'!$E$47")</f>
        <v>3</v>
      </c>
      <c r="E276" s="37" cm="1">
        <f t="array" aca="1" ref="E276" ca="1">INDIRECT("'" &amp; C276 &amp; "'!$F$47")</f>
        <v>4</v>
      </c>
      <c r="G276" t="s">
        <v>309</v>
      </c>
      <c r="H276">
        <f ca="1">H277-H278</f>
        <v>4</v>
      </c>
      <c r="J276" t="s">
        <v>333</v>
      </c>
      <c r="K276">
        <f ca="1">[1]!DPTEST(D265:D285)</f>
        <v>0.25489517188007682</v>
      </c>
      <c r="M276" t="s">
        <v>309</v>
      </c>
      <c r="N276">
        <f ca="1">N277-N278</f>
        <v>4</v>
      </c>
      <c r="P276" t="s">
        <v>333</v>
      </c>
      <c r="Q276">
        <f ca="1">[1]!DPTEST(E265:E285)</f>
        <v>0.1567777362470627</v>
      </c>
      <c r="S276" t="s">
        <v>357</v>
      </c>
      <c r="T276">
        <f ca="1">_xlfn.T.DIST.2T(ABS(X271),Y271)</f>
        <v>0.66570326029704208</v>
      </c>
      <c r="U276">
        <f ca="1">_xlfn.T.INV.2T(W267,Y271)</f>
        <v>2.0859634472658648</v>
      </c>
      <c r="V276">
        <f ca="1">(U269-U270)-W271*U276</f>
        <v>-0.27412992954548754</v>
      </c>
      <c r="W276">
        <f ca="1">(U269-U270)+W271*U276</f>
        <v>0.17889183430739264</v>
      </c>
      <c r="X276" s="70" t="str">
        <f ca="1">IF(T276&lt;W267,"yes","no")</f>
        <v>no</v>
      </c>
      <c r="AD276" s="70" t="s">
        <v>365</v>
      </c>
      <c r="AE276" s="70" t="s">
        <v>366</v>
      </c>
    </row>
    <row r="277" spans="3:31" x14ac:dyDescent="0.3">
      <c r="C277" s="2" t="s">
        <v>297</v>
      </c>
      <c r="D277" s="37" cm="1">
        <f t="array" aca="1" ref="D277" ca="1">INDIRECT("'" &amp; C277 &amp; "'!$E$47")</f>
        <v>6</v>
      </c>
      <c r="E277" s="37" cm="1">
        <f t="array" aca="1" ref="E277" ca="1">INDIRECT("'" &amp; C277 &amp; "'!$F$47")</f>
        <v>6</v>
      </c>
      <c r="G277" t="s">
        <v>310</v>
      </c>
      <c r="H277" s="65">
        <f ca="1">MAX(D265:D285)</f>
        <v>6</v>
      </c>
      <c r="J277" t="s">
        <v>334</v>
      </c>
      <c r="K277">
        <v>0.05</v>
      </c>
      <c r="M277" t="s">
        <v>310</v>
      </c>
      <c r="N277" s="65">
        <f ca="1">MAX(E265:E285)</f>
        <v>6</v>
      </c>
      <c r="P277" t="s">
        <v>334</v>
      </c>
      <c r="Q277">
        <v>0.05</v>
      </c>
      <c r="S277" s="85"/>
      <c r="T277" s="85"/>
      <c r="U277" s="85"/>
      <c r="V277" s="85"/>
      <c r="W277" s="85"/>
      <c r="X277" s="85"/>
      <c r="AC277" t="s">
        <v>367</v>
      </c>
      <c r="AD277" s="88">
        <f ca="1">AD271*(AD271+1)/4</f>
        <v>7.5</v>
      </c>
    </row>
    <row r="278" spans="3:31" x14ac:dyDescent="0.3">
      <c r="C278" s="2" t="s">
        <v>298</v>
      </c>
      <c r="D278" s="37" cm="1">
        <f t="array" aca="1" ref="D278" ca="1">INDIRECT("'" &amp; C278 &amp; "'!$E$47")</f>
        <v>2</v>
      </c>
      <c r="E278" s="37" cm="1">
        <f t="array" aca="1" ref="E278" ca="1">INDIRECT("'" &amp; C278 &amp; "'!$F$47")</f>
        <v>2</v>
      </c>
      <c r="G278" t="s">
        <v>311</v>
      </c>
      <c r="H278" s="65">
        <f ca="1">MIN(D265:D285)</f>
        <v>2</v>
      </c>
      <c r="J278" s="63" t="s">
        <v>335</v>
      </c>
      <c r="K278" s="66" t="str">
        <f ca="1">IF(K276&lt;K277,"no","yes")</f>
        <v>yes</v>
      </c>
      <c r="M278" t="s">
        <v>311</v>
      </c>
      <c r="N278" s="65">
        <f ca="1">MIN(E265:E285)</f>
        <v>2</v>
      </c>
      <c r="P278" s="63" t="s">
        <v>335</v>
      </c>
      <c r="Q278" s="66" t="str">
        <f ca="1">IF(Q276&lt;Q277,"no","yes")</f>
        <v>yes</v>
      </c>
      <c r="AC278" t="s">
        <v>368</v>
      </c>
      <c r="AD278" s="74">
        <f ca="1">SQRT(AD277*(2*AD271+1)/6-[1]!TiesCorrection(D265:D285,E265:E285,1)/48)</f>
        <v>3.3541019662496847</v>
      </c>
      <c r="AE278" t="s">
        <v>369</v>
      </c>
    </row>
    <row r="279" spans="3:31" x14ac:dyDescent="0.3">
      <c r="C279" s="2" t="s">
        <v>299</v>
      </c>
      <c r="D279" s="37" cm="1">
        <f t="array" aca="1" ref="D279" ca="1">INDIRECT("'" &amp; C279 &amp; "'!$E$47")</f>
        <v>2</v>
      </c>
      <c r="E279" s="37" cm="1">
        <f t="array" aca="1" ref="E279" ca="1">INDIRECT("'" &amp; C279 &amp; "'!$F$47")</f>
        <v>3</v>
      </c>
      <c r="G279" t="s">
        <v>312</v>
      </c>
      <c r="H279" s="65">
        <f ca="1">SUM(D265:D285)</f>
        <v>73</v>
      </c>
      <c r="M279" t="s">
        <v>312</v>
      </c>
      <c r="N279" s="65">
        <f ca="1">SUM(E265:E285)</f>
        <v>74</v>
      </c>
      <c r="AC279" t="s">
        <v>370</v>
      </c>
      <c r="AD279" s="74">
        <f ca="1">ABS(ABS(AD274-AD277)-1/2)/AD278</f>
        <v>0.29814239699997197</v>
      </c>
      <c r="AE279" t="s">
        <v>371</v>
      </c>
    </row>
    <row r="280" spans="3:31" x14ac:dyDescent="0.3">
      <c r="C280" s="2" t="s">
        <v>395</v>
      </c>
      <c r="D280" s="37" cm="1">
        <f t="array" aca="1" ref="D280" ca="1">INDIRECT("'" &amp; C280 &amp; "'!$E$47")</f>
        <v>4</v>
      </c>
      <c r="E280" s="37" cm="1">
        <f t="array" aca="1" ref="E280" ca="1">INDIRECT("'" &amp; C280 &amp; "'!$F$47")</f>
        <v>4</v>
      </c>
      <c r="G280" t="s">
        <v>313</v>
      </c>
      <c r="H280">
        <f ca="1">COUNT(D265:D285)</f>
        <v>21</v>
      </c>
      <c r="M280" t="s">
        <v>313</v>
      </c>
      <c r="N280">
        <f ca="1">COUNT(E265:E285)</f>
        <v>21</v>
      </c>
      <c r="AC280" t="s">
        <v>372</v>
      </c>
      <c r="AD280" s="74">
        <f ca="1">AD279/SQRT(AD271)</f>
        <v>0.13333333333333333</v>
      </c>
    </row>
    <row r="281" spans="3:31" x14ac:dyDescent="0.3">
      <c r="C281" s="2" t="s">
        <v>396</v>
      </c>
      <c r="D281" s="37" cm="1">
        <f t="array" aca="1" ref="D281" ca="1">INDIRECT("'" &amp; C281 &amp; "'!$E$47")</f>
        <v>3</v>
      </c>
      <c r="E281" s="37" cm="1">
        <f t="array" aca="1" ref="E281" ca="1">INDIRECT("'" &amp; C281 &amp; "'!$F$47")</f>
        <v>3</v>
      </c>
      <c r="G281" t="s">
        <v>314</v>
      </c>
      <c r="H281">
        <f ca="1">GEOMEAN(D265:D285)</f>
        <v>3.2898484547686619</v>
      </c>
      <c r="M281" t="s">
        <v>314</v>
      </c>
      <c r="N281">
        <f ca="1">GEOMEAN(E265:E285)</f>
        <v>3.3643091134152696</v>
      </c>
      <c r="AC281" t="s">
        <v>373</v>
      </c>
      <c r="AD281" s="88">
        <f ca="1">1-_xlfn.NORM.S.DIST(AD279,TRUE)</f>
        <v>0.38279724199788201</v>
      </c>
      <c r="AE281" s="104">
        <f ca="1">2*AD281</f>
        <v>0.76559448399576402</v>
      </c>
    </row>
    <row r="282" spans="3:31" x14ac:dyDescent="0.3">
      <c r="C282" s="2" t="s">
        <v>397</v>
      </c>
      <c r="D282" s="37" cm="1">
        <f t="array" aca="1" ref="D282" ca="1">INDIRECT("'" &amp; C282 &amp; "'!$E$47")</f>
        <v>4</v>
      </c>
      <c r="E282" s="37" cm="1">
        <f t="array" aca="1" ref="E282" ca="1">INDIRECT("'" &amp; C282 &amp; "'!$F$47")</f>
        <v>3</v>
      </c>
      <c r="G282" t="s">
        <v>315</v>
      </c>
      <c r="H282">
        <f ca="1">HARMEAN(D265:D285)</f>
        <v>3.1188118811881189</v>
      </c>
      <c r="M282" t="s">
        <v>315</v>
      </c>
      <c r="N282">
        <f ca="1">HARMEAN(E265:E285)</f>
        <v>3.2142857142857153</v>
      </c>
      <c r="AC282" t="s">
        <v>374</v>
      </c>
      <c r="AD282" s="74">
        <f ca="1">[1]!SRDIST(AD274,AD271,1)</f>
        <v>0.40625</v>
      </c>
      <c r="AE282" s="77">
        <f ca="1">2*AD282</f>
        <v>0.8125</v>
      </c>
    </row>
    <row r="283" spans="3:31" x14ac:dyDescent="0.3">
      <c r="C283" s="2" t="s">
        <v>398</v>
      </c>
      <c r="D283" s="37" cm="1">
        <f t="array" aca="1" ref="D283" ca="1">INDIRECT("'" &amp; C283 &amp; "'!$E$47")</f>
        <v>5</v>
      </c>
      <c r="E283" s="37" cm="1">
        <f t="array" aca="1" ref="E283" ca="1">INDIRECT("'" &amp; C283 &amp; "'!$F$47")</f>
        <v>5</v>
      </c>
      <c r="G283" t="s">
        <v>316</v>
      </c>
      <c r="H283">
        <f ca="1">AVEDEV(D265:D285)</f>
        <v>0.97052154195011331</v>
      </c>
      <c r="M283" t="s">
        <v>316</v>
      </c>
      <c r="N283">
        <f ca="1">AVEDEV(E265:E285)</f>
        <v>0.88435374149659884</v>
      </c>
      <c r="AC283" t="s">
        <v>375</v>
      </c>
      <c r="AD283" s="75" t="s">
        <v>376</v>
      </c>
      <c r="AE283" s="78" t="s">
        <v>376</v>
      </c>
    </row>
    <row r="284" spans="3:31" x14ac:dyDescent="0.3">
      <c r="C284" s="2" t="s">
        <v>399</v>
      </c>
      <c r="D284" s="37" cm="1">
        <f t="array" aca="1" ref="D284" ca="1">INDIRECT("'" &amp; C284 &amp; "'!$E$47")</f>
        <v>3</v>
      </c>
      <c r="E284" s="37" cm="1">
        <f t="array" aca="1" ref="E284" ca="1">INDIRECT("'" &amp; C284 &amp; "'!$F$47")</f>
        <v>3</v>
      </c>
      <c r="G284" t="s">
        <v>317</v>
      </c>
      <c r="H284">
        <f ca="1">[1]!MAD(D265:D285)</f>
        <v>1</v>
      </c>
      <c r="M284" t="s">
        <v>317</v>
      </c>
      <c r="N284">
        <f ca="1">[1]!MAD(E265:E285)</f>
        <v>1</v>
      </c>
    </row>
    <row r="285" spans="3:31" x14ac:dyDescent="0.3">
      <c r="C285" s="2" t="s">
        <v>400</v>
      </c>
      <c r="D285" s="37" cm="1">
        <f t="array" aca="1" ref="D285" ca="1">INDIRECT("'" &amp; C285 &amp; "'!$E$47")</f>
        <v>3</v>
      </c>
      <c r="E285" s="37" cm="1">
        <f t="array" aca="1" ref="E285" ca="1">INDIRECT("'" &amp; C285 &amp; "'!$F$47")</f>
        <v>3</v>
      </c>
      <c r="G285" s="63" t="s">
        <v>318</v>
      </c>
      <c r="H285" s="63">
        <f ca="1">[1]!IQR(D265:D285,FALSE)</f>
        <v>1</v>
      </c>
      <c r="M285" s="63" t="s">
        <v>318</v>
      </c>
      <c r="N285" s="63">
        <f ca="1">[1]!IQR(E265:E285,FALSE)</f>
        <v>1</v>
      </c>
    </row>
  </sheetData>
  <pageMargins left="0.7" right="0.7" top="0.75" bottom="0.75" header="0.3" footer="0.3"/>
  <pageSetup paperSize="9" scale="1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C467-1F0A-45B5-BB76-572785DC778D}">
  <sheetPr>
    <tabColor theme="7" tint="0.59999389629810485"/>
  </sheetPr>
  <dimension ref="D4:AO184"/>
  <sheetViews>
    <sheetView showGridLines="0" topLeftCell="AB12" zoomScale="103" workbookViewId="0">
      <selection activeCell="AQ31" sqref="AQ31"/>
    </sheetView>
  </sheetViews>
  <sheetFormatPr defaultRowHeight="14.4" x14ac:dyDescent="0.3"/>
  <sheetData>
    <row r="4" spans="4:32" x14ac:dyDescent="0.3">
      <c r="D4" s="2"/>
      <c r="E4" s="59" t="s">
        <v>90</v>
      </c>
      <c r="F4" s="2"/>
    </row>
    <row r="5" spans="4:32" x14ac:dyDescent="0.3">
      <c r="D5" s="2"/>
      <c r="E5" s="2" t="s">
        <v>430</v>
      </c>
      <c r="F5" s="2" t="s">
        <v>431</v>
      </c>
    </row>
    <row r="6" spans="4:32" x14ac:dyDescent="0.3">
      <c r="D6" s="2" t="s">
        <v>285</v>
      </c>
      <c r="E6" s="37" cm="1">
        <f t="array" aca="1" ref="E6" ca="1">INDIRECT("'" &amp; D6 &amp; "'!$L$55")</f>
        <v>5.666666666666667</v>
      </c>
      <c r="F6" s="37" cm="1">
        <f t="array" aca="1" ref="F6" ca="1">INDIRECT("'" &amp; D6 &amp; "'!$M$55")</f>
        <v>5.4</v>
      </c>
      <c r="H6" t="s">
        <v>300</v>
      </c>
      <c r="K6" t="s">
        <v>331</v>
      </c>
      <c r="N6" t="s">
        <v>300</v>
      </c>
      <c r="Q6" t="s">
        <v>331</v>
      </c>
      <c r="R6" s="87"/>
      <c r="T6" t="s">
        <v>338</v>
      </c>
      <c r="AD6" t="s">
        <v>358</v>
      </c>
    </row>
    <row r="7" spans="4:32" x14ac:dyDescent="0.3">
      <c r="D7" s="2" t="s">
        <v>286</v>
      </c>
      <c r="E7" s="37" cm="1">
        <f t="array" aca="1" ref="E7" ca="1">INDIRECT("'" &amp; D7 &amp; "'!$L$55")</f>
        <v>6</v>
      </c>
      <c r="F7" s="37" cm="1">
        <f t="array" aca="1" ref="F7" ca="1">INDIRECT("'" &amp; D7 &amp; "'!$M$55")</f>
        <v>5.6</v>
      </c>
    </row>
    <row r="8" spans="4:32" ht="15" thickBot="1" x14ac:dyDescent="0.35">
      <c r="D8" s="2" t="s">
        <v>287</v>
      </c>
      <c r="E8" s="37" cm="1">
        <f t="array" aca="1" ref="E8" ca="1">INDIRECT("'" &amp; D8 &amp; "'!$L$55")</f>
        <v>6.333333333333333</v>
      </c>
      <c r="F8" s="37" cm="1">
        <f t="array" aca="1" ref="F8" ca="1">INDIRECT("'" &amp; D8 &amp; "'!$M$55")</f>
        <v>5.6</v>
      </c>
      <c r="H8" s="64"/>
      <c r="I8" s="64" t="s">
        <v>379</v>
      </c>
      <c r="K8" s="64"/>
      <c r="L8" s="64" t="s">
        <v>379</v>
      </c>
      <c r="N8" s="64"/>
      <c r="O8" s="86" t="s">
        <v>379</v>
      </c>
      <c r="Q8" s="92"/>
      <c r="R8" s="91" t="s">
        <v>379</v>
      </c>
      <c r="T8" s="79" t="s">
        <v>339</v>
      </c>
      <c r="U8" s="96"/>
      <c r="W8" t="s">
        <v>340</v>
      </c>
      <c r="X8">
        <v>0.05</v>
      </c>
      <c r="Z8" t="s">
        <v>341</v>
      </c>
      <c r="AA8">
        <v>0</v>
      </c>
      <c r="AE8" t="s">
        <v>381</v>
      </c>
      <c r="AF8" t="s">
        <v>382</v>
      </c>
    </row>
    <row r="9" spans="4:32" ht="15" thickTop="1" x14ac:dyDescent="0.3">
      <c r="D9" s="2" t="s">
        <v>288</v>
      </c>
      <c r="E9" s="37" cm="1">
        <f t="array" aca="1" ref="E9" ca="1">INDIRECT("'" &amp; D9 &amp; "'!$L$55")</f>
        <v>6.166666666666667</v>
      </c>
      <c r="F9" s="37" cm="1">
        <f t="array" aca="1" ref="F9" ca="1">INDIRECT("'" &amp; D9 &amp; "'!$M$55")</f>
        <v>5</v>
      </c>
      <c r="H9" t="s">
        <v>301</v>
      </c>
      <c r="I9" s="65">
        <f ca="1">AVERAGE(E6:E26)</f>
        <v>5.8095238095238093</v>
      </c>
      <c r="K9" t="s">
        <v>332</v>
      </c>
      <c r="L9">
        <f ca="1">[1]!SHAPIRO(E6:E26)</f>
        <v>0.90951693873887307</v>
      </c>
      <c r="N9" t="s">
        <v>301</v>
      </c>
      <c r="O9" s="65">
        <f ca="1">AVERAGE(F6:F26)</f>
        <v>5.2285714285714295</v>
      </c>
      <c r="Q9" t="s">
        <v>332</v>
      </c>
      <c r="R9" s="74">
        <f ca="1">[1]!SHAPIRO(F6:F26)</f>
        <v>0.95969790495407281</v>
      </c>
      <c r="T9" s="97" t="s">
        <v>342</v>
      </c>
      <c r="U9" s="97" t="s">
        <v>313</v>
      </c>
      <c r="V9" s="97" t="s">
        <v>301</v>
      </c>
      <c r="W9" s="97" t="s">
        <v>343</v>
      </c>
      <c r="X9" s="97" t="s">
        <v>344</v>
      </c>
      <c r="Y9" s="97" t="s">
        <v>345</v>
      </c>
      <c r="Z9" s="97" t="s">
        <v>346</v>
      </c>
      <c r="AA9" s="97" t="s">
        <v>347</v>
      </c>
      <c r="AB9" s="97" t="s">
        <v>348</v>
      </c>
      <c r="AD9" t="s">
        <v>359</v>
      </c>
      <c r="AE9" s="102">
        <f ca="1">MEDIAN(E6:E26)</f>
        <v>5.833333333333333</v>
      </c>
      <c r="AF9" s="103">
        <f ca="1">MEDIAN(F6:F26)</f>
        <v>5.2</v>
      </c>
    </row>
    <row r="10" spans="4:32" x14ac:dyDescent="0.3">
      <c r="D10" s="2" t="s">
        <v>289</v>
      </c>
      <c r="E10" s="37" cm="1">
        <f t="array" aca="1" ref="E10" ca="1">INDIRECT("'" &amp; D10 &amp; "'!$L$55")</f>
        <v>6.333333333333333</v>
      </c>
      <c r="F10" s="37" cm="1">
        <f t="array" aca="1" ref="F10" ca="1">INDIRECT("'" &amp; D10 &amp; "'!$M$55")</f>
        <v>6</v>
      </c>
      <c r="H10" t="s">
        <v>302</v>
      </c>
      <c r="I10">
        <f ca="1">_xlfn.STDEV.S(E6:E26)/SQRT(COUNT(E6:E26))</f>
        <v>0.11574792116804565</v>
      </c>
      <c r="K10" t="s">
        <v>333</v>
      </c>
      <c r="L10">
        <f ca="1">[1]!SWTEST(E6:E26)</f>
        <v>5.3718286186996922E-2</v>
      </c>
      <c r="N10" t="s">
        <v>302</v>
      </c>
      <c r="O10">
        <f ca="1">_xlfn.STDEV.S(F6:F26)/SQRT(COUNT(F6:F26))</f>
        <v>0.11734013585723002</v>
      </c>
      <c r="Q10" t="s">
        <v>333</v>
      </c>
      <c r="R10" s="74">
        <f ca="1">[1]!SWTEST(F6:F26)</f>
        <v>0.51005941452869608</v>
      </c>
      <c r="T10" t="s">
        <v>379</v>
      </c>
      <c r="U10">
        <f ca="1">COUNT(E6:E26)</f>
        <v>21</v>
      </c>
      <c r="V10" s="65">
        <f ca="1">AVERAGE(E6:E26)</f>
        <v>5.8095238095238093</v>
      </c>
      <c r="W10">
        <f ca="1">_xlfn.STDEV.S(E6:E26)</f>
        <v>0.53042361028635054</v>
      </c>
    </row>
    <row r="11" spans="4:32" x14ac:dyDescent="0.3">
      <c r="D11" s="2" t="s">
        <v>290</v>
      </c>
      <c r="E11" s="37" cm="1">
        <f t="array" aca="1" ref="E11" ca="1">INDIRECT("'" &amp; D11 &amp; "'!$L$55")</f>
        <v>6.166666666666667</v>
      </c>
      <c r="F11" s="37" cm="1">
        <f t="array" aca="1" ref="F11" ca="1">INDIRECT("'" &amp; D11 &amp; "'!$M$55")</f>
        <v>5</v>
      </c>
      <c r="H11" t="s">
        <v>303</v>
      </c>
      <c r="I11" s="65">
        <f ca="1">MEDIAN(E6:E26)</f>
        <v>5.833333333333333</v>
      </c>
      <c r="K11" t="s">
        <v>334</v>
      </c>
      <c r="L11">
        <v>0.05</v>
      </c>
      <c r="N11" t="s">
        <v>303</v>
      </c>
      <c r="O11" s="65">
        <f ca="1">MEDIAN(F6:F26)</f>
        <v>5.2</v>
      </c>
      <c r="Q11" t="s">
        <v>334</v>
      </c>
      <c r="R11" s="74">
        <v>0.05</v>
      </c>
      <c r="T11" t="s">
        <v>380</v>
      </c>
      <c r="U11">
        <f ca="1">COUNT(F6:F26)</f>
        <v>21</v>
      </c>
      <c r="V11" s="65">
        <f ca="1">AVERAGE(F6:F26)</f>
        <v>5.2285714285714295</v>
      </c>
      <c r="W11">
        <f ca="1">_xlfn.STDEV.S(F6:F26)</f>
        <v>0.53772005462215855</v>
      </c>
      <c r="AD11" t="s">
        <v>360</v>
      </c>
      <c r="AE11" s="88">
        <f ca="1">SUMPRODUCT(--ISNUMBER(E6:E26),--ISNUMBER(F6:F26))</f>
        <v>21</v>
      </c>
    </row>
    <row r="12" spans="4:32" x14ac:dyDescent="0.3">
      <c r="D12" s="2" t="s">
        <v>291</v>
      </c>
      <c r="E12" s="37" cm="1">
        <f t="array" aca="1" ref="E12" ca="1">INDIRECT("'" &amp; D12 &amp; "'!$L$55")</f>
        <v>6.333333333333333</v>
      </c>
      <c r="F12" s="37" cm="1">
        <f t="array" aca="1" ref="F12" ca="1">INDIRECT("'" &amp; D12 &amp; "'!$M$55")</f>
        <v>6.2</v>
      </c>
      <c r="H12" t="s">
        <v>304</v>
      </c>
      <c r="I12">
        <f ca="1">MODE(E6:E26)</f>
        <v>5.666666666666667</v>
      </c>
      <c r="K12" s="63" t="s">
        <v>335</v>
      </c>
      <c r="L12" s="66" t="str">
        <f ca="1">IF(L10&lt;L11,"no","yes")</f>
        <v>yes</v>
      </c>
      <c r="N12" t="s">
        <v>304</v>
      </c>
      <c r="O12">
        <f ca="1">MODE(F6:F26)</f>
        <v>5</v>
      </c>
      <c r="Q12" s="63" t="s">
        <v>335</v>
      </c>
      <c r="R12" s="93" t="str">
        <f ca="1">IF(R10&lt;R11,"no","yes")</f>
        <v>yes</v>
      </c>
      <c r="T12" s="98" t="s">
        <v>349</v>
      </c>
      <c r="U12" s="99">
        <f ca="1">U11</f>
        <v>21</v>
      </c>
      <c r="V12" s="100">
        <f ca="1">V10-V11</f>
        <v>0.58095238095237978</v>
      </c>
      <c r="W12" s="85">
        <f t="array" aca="1" ref="W12" ca="1">_xlfn.STDEV.S(E6:E26-F6:F26)</f>
        <v>0.4498853469461141</v>
      </c>
      <c r="X12" s="85">
        <f ca="1">W12/SQRT(U12)</f>
        <v>9.8173031258668483E-2</v>
      </c>
      <c r="Y12" s="85">
        <f ca="1">(V10-V11-AA8)/X12</f>
        <v>5.9176371912330339</v>
      </c>
      <c r="Z12" s="85">
        <f ca="1">U12-1</f>
        <v>20</v>
      </c>
      <c r="AA12" s="85">
        <f ca="1">ABS(V10-V11-AA8)/W12</f>
        <v>1.2913343030529165</v>
      </c>
      <c r="AB12" s="85">
        <f ca="1">SQRT(Y12^2/(Y12^2+Z12))</f>
        <v>0.79780037998477094</v>
      </c>
      <c r="AD12" t="s">
        <v>361</v>
      </c>
      <c r="AE12" s="74">
        <f ca="1">SUMPRODUCT(--ISNUMBER(E6:E26),--ISNUMBER(F6:F26),--(E6:E26&lt;&gt;F6:F26))</f>
        <v>21</v>
      </c>
    </row>
    <row r="13" spans="4:32" x14ac:dyDescent="0.3">
      <c r="D13" s="2" t="s">
        <v>292</v>
      </c>
      <c r="E13" s="37" cm="1">
        <f t="array" aca="1" ref="E13" ca="1">INDIRECT("'" &amp; D13 &amp; "'!$L$55")</f>
        <v>5.833333333333333</v>
      </c>
      <c r="F13" s="37" cm="1">
        <f t="array" aca="1" ref="F13" ca="1">INDIRECT("'" &amp; D13 &amp; "'!$M$55")</f>
        <v>6</v>
      </c>
      <c r="H13" t="s">
        <v>305</v>
      </c>
      <c r="I13">
        <f ca="1">_xlfn.STDEV.S(E6:E26)</f>
        <v>0.53042361028635054</v>
      </c>
      <c r="N13" t="s">
        <v>305</v>
      </c>
      <c r="O13">
        <f ca="1">_xlfn.STDEV.S(F6:F26)</f>
        <v>0.53772005462215855</v>
      </c>
      <c r="R13" s="74"/>
      <c r="AD13" t="s">
        <v>362</v>
      </c>
      <c r="AE13" s="74">
        <f ca="1">IF(AE15&lt;=AE18,AE15,AE12*(AE12+1)/2)</f>
        <v>6.5</v>
      </c>
    </row>
    <row r="14" spans="4:32" ht="15" thickBot="1" x14ac:dyDescent="0.35">
      <c r="D14" s="2" t="s">
        <v>293</v>
      </c>
      <c r="E14" s="37" cm="1">
        <f t="array" aca="1" ref="E14" ca="1">INDIRECT("'" &amp; D14 &amp; "'!$L$55")</f>
        <v>6.666666666666667</v>
      </c>
      <c r="F14" s="37" cm="1">
        <f t="array" aca="1" ref="F14" ca="1">INDIRECT("'" &amp; D14 &amp; "'!$M$55")</f>
        <v>6</v>
      </c>
      <c r="H14" t="s">
        <v>306</v>
      </c>
      <c r="I14">
        <f ca="1">_xlfn.VAR.S(E6:E26)</f>
        <v>0.28134920634920624</v>
      </c>
      <c r="K14" t="s">
        <v>336</v>
      </c>
      <c r="N14" t="s">
        <v>306</v>
      </c>
      <c r="O14">
        <f ca="1">_xlfn.VAR.S(F6:F26)</f>
        <v>0.2891428571428572</v>
      </c>
      <c r="Q14" t="s">
        <v>336</v>
      </c>
      <c r="R14" s="90"/>
      <c r="T14" t="s">
        <v>350</v>
      </c>
      <c r="AD14" t="s">
        <v>363</v>
      </c>
      <c r="AE14" s="74">
        <f ca="1">AE12*(AE12+1)/2-AE13</f>
        <v>224.5</v>
      </c>
    </row>
    <row r="15" spans="4:32" ht="15" thickTop="1" x14ac:dyDescent="0.3">
      <c r="D15" s="2" t="s">
        <v>294</v>
      </c>
      <c r="E15" s="37" cm="1">
        <f t="array" aca="1" ref="E15" ca="1">INDIRECT("'" &amp; D15 &amp; "'!$L$55")</f>
        <v>5.666666666666667</v>
      </c>
      <c r="F15" s="37" cm="1">
        <f t="array" aca="1" ref="F15" ca="1">INDIRECT("'" &amp; D15 &amp; "'!$M$55")</f>
        <v>5.2</v>
      </c>
      <c r="H15" t="s">
        <v>307</v>
      </c>
      <c r="I15">
        <f ca="1">KURT(E6:E26)</f>
        <v>1.3083436089372991</v>
      </c>
      <c r="N15" t="s">
        <v>307</v>
      </c>
      <c r="O15">
        <f ca="1">KURT(F6:F26)</f>
        <v>-0.57720775559796555</v>
      </c>
      <c r="T15" s="101" t="s">
        <v>351</v>
      </c>
      <c r="U15" s="101" t="s">
        <v>333</v>
      </c>
      <c r="V15" s="101" t="s">
        <v>352</v>
      </c>
      <c r="W15" s="101" t="s">
        <v>353</v>
      </c>
      <c r="X15" s="101" t="s">
        <v>354</v>
      </c>
      <c r="Y15" s="101" t="s">
        <v>355</v>
      </c>
      <c r="AD15" t="s">
        <v>364</v>
      </c>
      <c r="AE15" s="75">
        <f ca="1">[1]!SRANK(E6:E26,F6:F26)</f>
        <v>6.5</v>
      </c>
    </row>
    <row r="16" spans="4:32" x14ac:dyDescent="0.3">
      <c r="D16" s="2" t="s">
        <v>295</v>
      </c>
      <c r="E16" s="37" cm="1">
        <f t="array" aca="1" ref="E16" ca="1">INDIRECT("'" &amp; D16 &amp; "'!$L$55")</f>
        <v>6</v>
      </c>
      <c r="F16" s="37" cm="1">
        <f t="array" aca="1" ref="F16" ca="1">INDIRECT("'" &amp; D16 &amp; "'!$M$55")</f>
        <v>5.2</v>
      </c>
      <c r="H16" t="s">
        <v>308</v>
      </c>
      <c r="I16">
        <f ca="1">SKEW(E6:E26)</f>
        <v>-1.0494257405648937</v>
      </c>
      <c r="K16" s="85" t="s">
        <v>337</v>
      </c>
      <c r="L16" s="85">
        <f ca="1">[1]!DAGOSTINO(E6:E26)</f>
        <v>6.0036431560543484</v>
      </c>
      <c r="N16" t="s">
        <v>308</v>
      </c>
      <c r="O16">
        <f ca="1">SKEW(F6:F26)</f>
        <v>0.15633581939850974</v>
      </c>
      <c r="Q16" s="94" t="s">
        <v>337</v>
      </c>
      <c r="R16" s="95">
        <f ca="1">[1]!DAGOSTINO(F6:F26)</f>
        <v>0.38966408606873215</v>
      </c>
      <c r="T16" t="s">
        <v>356</v>
      </c>
      <c r="U16">
        <f ca="1">_xlfn.T.DIST.RT(ABS(Y12),Z12)</f>
        <v>4.3412531228272457E-6</v>
      </c>
      <c r="V16">
        <f ca="1">_xlfn.T.INV.2T(X8*2,Z12)</f>
        <v>1.7247182429207868</v>
      </c>
      <c r="Y16" s="70" t="str">
        <f ca="1">IF(U16&lt;X8,"yes","no")</f>
        <v>yes</v>
      </c>
    </row>
    <row r="17" spans="4:41" x14ac:dyDescent="0.3">
      <c r="D17" s="2" t="s">
        <v>296</v>
      </c>
      <c r="E17" s="37" cm="1">
        <f t="array" aca="1" ref="E17" ca="1">INDIRECT("'" &amp; D17 &amp; "'!$L$55")</f>
        <v>6.166666666666667</v>
      </c>
      <c r="F17" s="37" cm="1">
        <f t="array" aca="1" ref="F17" ca="1">INDIRECT("'" &amp; D17 &amp; "'!$M$55")</f>
        <v>5</v>
      </c>
      <c r="H17" t="s">
        <v>309</v>
      </c>
      <c r="I17" s="65">
        <f ca="1">I18-I19</f>
        <v>2.166666666666667</v>
      </c>
      <c r="K17" t="s">
        <v>333</v>
      </c>
      <c r="L17">
        <f ca="1">[1]!DPTEST(E6:E26)</f>
        <v>4.9696459888349698E-2</v>
      </c>
      <c r="N17" t="s">
        <v>309</v>
      </c>
      <c r="O17" s="65">
        <f ca="1">O18-O19</f>
        <v>2</v>
      </c>
      <c r="Q17" t="s">
        <v>333</v>
      </c>
      <c r="R17" s="74">
        <f ca="1">[1]!DPTEST(F6:F26)</f>
        <v>0.82297287047494827</v>
      </c>
      <c r="T17" t="s">
        <v>357</v>
      </c>
      <c r="U17">
        <f ca="1">_xlfn.T.DIST.2T(ABS(Y12),Z12)</f>
        <v>8.6825062456544913E-6</v>
      </c>
      <c r="V17">
        <f ca="1">_xlfn.T.INV.2T(X8,Z12)</f>
        <v>2.0859634472658648</v>
      </c>
      <c r="W17">
        <f ca="1">(V10-V11)-X12*V17</f>
        <v>0.37616702623950815</v>
      </c>
      <c r="X17">
        <f ca="1">(V10-V11)+X12*V17</f>
        <v>0.7857377356652514</v>
      </c>
      <c r="Y17" s="70" t="str">
        <f ca="1">IF(U17&lt;X8,"yes","no")</f>
        <v>yes</v>
      </c>
      <c r="AE17" s="70" t="s">
        <v>365</v>
      </c>
      <c r="AF17" s="70" t="s">
        <v>366</v>
      </c>
    </row>
    <row r="18" spans="4:41" x14ac:dyDescent="0.3">
      <c r="D18" s="2" t="s">
        <v>297</v>
      </c>
      <c r="E18" s="37" cm="1">
        <f t="array" aca="1" ref="E18" ca="1">INDIRECT("'" &amp; D18 &amp; "'!$L$55")</f>
        <v>4.666666666666667</v>
      </c>
      <c r="F18" s="37" cm="1">
        <f t="array" aca="1" ref="F18" ca="1">INDIRECT("'" &amp; D18 &amp; "'!$M$55")</f>
        <v>4.5999999999999996</v>
      </c>
      <c r="H18" t="s">
        <v>310</v>
      </c>
      <c r="I18" s="65">
        <f ca="1">MAX(E6:E26)</f>
        <v>6.666666666666667</v>
      </c>
      <c r="K18" t="s">
        <v>334</v>
      </c>
      <c r="L18">
        <v>0.05</v>
      </c>
      <c r="N18" t="s">
        <v>310</v>
      </c>
      <c r="O18" s="65">
        <f ca="1">MAX(F6:F26)</f>
        <v>6.2</v>
      </c>
      <c r="Q18" t="s">
        <v>334</v>
      </c>
      <c r="R18" s="89">
        <v>0.05</v>
      </c>
      <c r="T18" s="85"/>
      <c r="U18" s="85"/>
      <c r="V18" s="85"/>
      <c r="W18" s="85"/>
      <c r="X18" s="85"/>
      <c r="Y18" s="85"/>
      <c r="AD18" t="s">
        <v>367</v>
      </c>
      <c r="AE18" s="88">
        <f ca="1">AE12*(AE12+1)/4</f>
        <v>115.5</v>
      </c>
    </row>
    <row r="19" spans="4:41" x14ac:dyDescent="0.3">
      <c r="D19" s="2" t="s">
        <v>298</v>
      </c>
      <c r="E19" s="37" cm="1">
        <f t="array" aca="1" ref="E19" ca="1">INDIRECT("'" &amp; D19 &amp; "'!$L$55")</f>
        <v>5.5</v>
      </c>
      <c r="F19" s="37" cm="1">
        <f t="array" aca="1" ref="F19" ca="1">INDIRECT("'" &amp; D19 &amp; "'!$M$55")</f>
        <v>4.5999999999999996</v>
      </c>
      <c r="H19" t="s">
        <v>311</v>
      </c>
      <c r="I19" s="65">
        <f ca="1">MIN(E6:E26)</f>
        <v>4.5</v>
      </c>
      <c r="K19" s="63" t="s">
        <v>335</v>
      </c>
      <c r="L19" s="66" t="str">
        <f ca="1">IF(L17&lt;L18,"no","yes")</f>
        <v>no</v>
      </c>
      <c r="N19" t="s">
        <v>311</v>
      </c>
      <c r="O19" s="65">
        <f ca="1">MIN(F6:F26)</f>
        <v>4.2</v>
      </c>
      <c r="Q19" s="63" t="s">
        <v>335</v>
      </c>
      <c r="R19" s="93" t="str">
        <f ca="1">IF(R17&lt;R18,"no","yes")</f>
        <v>yes</v>
      </c>
      <c r="T19" s="63"/>
      <c r="U19" s="66"/>
      <c r="AD19" t="s">
        <v>368</v>
      </c>
      <c r="AE19" s="74">
        <f ca="1">SQRT(AE18*(2*AE12+1)/6-[1]!TiesCorrection(E6:E26,F6:F26,1)/48)</f>
        <v>28.757607689096812</v>
      </c>
      <c r="AF19" t="s">
        <v>369</v>
      </c>
    </row>
    <row r="20" spans="4:41" x14ac:dyDescent="0.3">
      <c r="D20" s="2" t="s">
        <v>299</v>
      </c>
      <c r="E20" s="37" cm="1">
        <f t="array" aca="1" ref="E20" ca="1">INDIRECT("'" &amp; D20 &amp; "'!$L$55")</f>
        <v>5.666666666666667</v>
      </c>
      <c r="F20" s="37" cm="1">
        <f t="array" aca="1" ref="F20" ca="1">INDIRECT("'" &amp; D20 &amp; "'!$M$55")</f>
        <v>4.2</v>
      </c>
      <c r="H20" t="s">
        <v>312</v>
      </c>
      <c r="I20" s="65">
        <f ca="1">SUM(E6:E26)</f>
        <v>122</v>
      </c>
      <c r="N20" t="s">
        <v>312</v>
      </c>
      <c r="O20" s="65">
        <f ca="1">SUM(F6:F26)</f>
        <v>109.80000000000001</v>
      </c>
      <c r="R20" s="74"/>
      <c r="AD20" t="s">
        <v>370</v>
      </c>
      <c r="AE20" s="74">
        <f ca="1">ABS(ABS(AE15-AE18)-1/2)/AE19</f>
        <v>3.7729146726324108</v>
      </c>
      <c r="AF20" t="s">
        <v>371</v>
      </c>
    </row>
    <row r="21" spans="4:41" x14ac:dyDescent="0.3">
      <c r="D21" s="2" t="s">
        <v>395</v>
      </c>
      <c r="E21" s="37" cm="1">
        <f t="array" aca="1" ref="E21" ca="1">INDIRECT("'" &amp; D21 &amp; "'!$L$55")</f>
        <v>5.833333333333333</v>
      </c>
      <c r="F21" s="37" cm="1">
        <f t="array" aca="1" ref="F21" ca="1">INDIRECT("'" &amp; D21 &amp; "'!$M$55")</f>
        <v>5</v>
      </c>
      <c r="H21" t="s">
        <v>313</v>
      </c>
      <c r="I21">
        <f ca="1">COUNT(E6:E26)</f>
        <v>21</v>
      </c>
      <c r="N21" t="s">
        <v>313</v>
      </c>
      <c r="O21">
        <f ca="1">COUNT(F6:F26)</f>
        <v>21</v>
      </c>
      <c r="R21" s="90"/>
      <c r="AD21" t="s">
        <v>372</v>
      </c>
      <c r="AE21" s="74">
        <f ca="1">AE20/SQRT(AE12)</f>
        <v>0.82331747990226456</v>
      </c>
    </row>
    <row r="22" spans="4:41" ht="15" thickBot="1" x14ac:dyDescent="0.35">
      <c r="D22" s="2" t="s">
        <v>396</v>
      </c>
      <c r="E22" s="37" cm="1">
        <f t="array" aca="1" ref="E22" ca="1">INDIRECT("'" &amp; D22 &amp; "'!$L$55")</f>
        <v>5.833333333333333</v>
      </c>
      <c r="F22" s="37" cm="1">
        <f t="array" aca="1" ref="F22" ca="1">INDIRECT("'" &amp; D22 &amp; "'!$M$55")</f>
        <v>5.4</v>
      </c>
      <c r="H22" t="s">
        <v>314</v>
      </c>
      <c r="I22">
        <f ca="1">GEOMEAN(E6:E26)</f>
        <v>5.7847839225347384</v>
      </c>
      <c r="N22" t="s">
        <v>314</v>
      </c>
      <c r="O22">
        <f ca="1">GEOMEAN(F6:F26)</f>
        <v>5.2022545116993193</v>
      </c>
      <c r="T22" s="142"/>
      <c r="U22" s="142" t="s">
        <v>301</v>
      </c>
      <c r="V22" s="148" t="s">
        <v>343</v>
      </c>
      <c r="W22" s="147" t="s">
        <v>333</v>
      </c>
      <c r="X22" s="147" t="s">
        <v>348</v>
      </c>
      <c r="AD22" t="s">
        <v>373</v>
      </c>
      <c r="AE22" s="88">
        <f ca="1">1-_xlfn.NORM.S.DIST(AE20,TRUE)</f>
        <v>8.0675741003122248E-5</v>
      </c>
      <c r="AF22" s="104">
        <f ca="1">2*AE22</f>
        <v>1.613514820062445E-4</v>
      </c>
    </row>
    <row r="23" spans="4:41" ht="15" thickBot="1" x14ac:dyDescent="0.35">
      <c r="D23" s="2" t="s">
        <v>397</v>
      </c>
      <c r="E23" s="37" cm="1">
        <f t="array" aca="1" ref="E23" ca="1">INDIRECT("'" &amp; D23 &amp; "'!$L$55")</f>
        <v>4.5</v>
      </c>
      <c r="F23" s="37" cm="1">
        <f t="array" aca="1" ref="F23" ca="1">INDIRECT("'" &amp; D23 &amp; "'!$M$55")</f>
        <v>4.5999999999999996</v>
      </c>
      <c r="H23" t="s">
        <v>315</v>
      </c>
      <c r="I23">
        <f ca="1">HARMEAN(E6:E26)</f>
        <v>5.7581965863844697</v>
      </c>
      <c r="N23" t="s">
        <v>315</v>
      </c>
      <c r="O23">
        <f ca="1">HARMEAN(F6:F26)</f>
        <v>5.1759750113290126</v>
      </c>
      <c r="R23" s="87"/>
      <c r="T23" s="142" t="s">
        <v>430</v>
      </c>
      <c r="U23" s="143">
        <v>5.8095238095238093</v>
      </c>
      <c r="V23" s="148">
        <v>0.53042361028635054</v>
      </c>
      <c r="W23" s="142"/>
      <c r="X23" s="142"/>
      <c r="AD23" t="s">
        <v>374</v>
      </c>
      <c r="AE23" s="74">
        <f ca="1">[1]!SRDIST(AE15,AE12,1)</f>
        <v>6.67572021484375E-6</v>
      </c>
      <c r="AF23" s="77">
        <f ca="1">2*AE23</f>
        <v>1.33514404296875E-5</v>
      </c>
    </row>
    <row r="24" spans="4:41" ht="15" thickBot="1" x14ac:dyDescent="0.35">
      <c r="D24" s="2" t="s">
        <v>398</v>
      </c>
      <c r="E24" s="37" cm="1">
        <f t="array" aca="1" ref="E24" ca="1">INDIRECT("'" &amp; D24 &amp; "'!$L$55")</f>
        <v>5.666666666666667</v>
      </c>
      <c r="F24" s="37" cm="1">
        <f t="array" aca="1" ref="F24" ca="1">INDIRECT("'" &amp; D24 &amp; "'!$M$55")</f>
        <v>4.8</v>
      </c>
      <c r="H24" t="s">
        <v>316</v>
      </c>
      <c r="I24">
        <f ca="1">AVEDEV(E6:E26)</f>
        <v>0.37868480725623577</v>
      </c>
      <c r="N24" t="s">
        <v>316</v>
      </c>
      <c r="O24">
        <f ca="1">AVEDEV(F6:F26)</f>
        <v>0.43265306122449004</v>
      </c>
      <c r="T24" s="144" t="s">
        <v>431</v>
      </c>
      <c r="U24" s="145">
        <v>5.2285714285714295</v>
      </c>
      <c r="V24" s="149">
        <v>0.53772005462215855</v>
      </c>
      <c r="W24" s="144">
        <v>8.6825062456544913E-6</v>
      </c>
      <c r="X24" s="144">
        <v>0.79780037998477094</v>
      </c>
      <c r="AD24" t="s">
        <v>375</v>
      </c>
      <c r="AE24" s="75" t="s">
        <v>376</v>
      </c>
      <c r="AF24" s="78" t="s">
        <v>376</v>
      </c>
      <c r="AN24" t="s">
        <v>430</v>
      </c>
      <c r="AO24" t="s">
        <v>431</v>
      </c>
    </row>
    <row r="25" spans="4:41" x14ac:dyDescent="0.3">
      <c r="D25" s="2" t="s">
        <v>399</v>
      </c>
      <c r="E25" s="37" cm="1">
        <f t="array" aca="1" ref="E25" ca="1">INDIRECT("'" &amp; D25 &amp; "'!$L$55")</f>
        <v>5.833333333333333</v>
      </c>
      <c r="F25" s="37" cm="1">
        <f t="array" aca="1" ref="F25" ca="1">INDIRECT("'" &amp; D25 &amp; "'!$M$55")</f>
        <v>5.4</v>
      </c>
      <c r="H25" t="s">
        <v>317</v>
      </c>
      <c r="I25">
        <f ca="1">[1]!MAD(E6:E26)</f>
        <v>0.33333333333333304</v>
      </c>
      <c r="N25" t="s">
        <v>317</v>
      </c>
      <c r="O25">
        <f ca="1">[1]!MAD(F6:F26)</f>
        <v>0.39999999999999947</v>
      </c>
      <c r="AM25" s="59" t="s">
        <v>90</v>
      </c>
      <c r="AN25" s="65">
        <f ca="1">I9</f>
        <v>5.8095238095238093</v>
      </c>
      <c r="AO25" s="65">
        <f ca="1">O9</f>
        <v>5.2285714285714295</v>
      </c>
    </row>
    <row r="26" spans="4:41" x14ac:dyDescent="0.3">
      <c r="D26" s="2" t="s">
        <v>400</v>
      </c>
      <c r="E26" s="37" cm="1">
        <f t="array" aca="1" ref="E26" ca="1">INDIRECT("'" &amp; D26 &amp; "'!$L$55")</f>
        <v>5.166666666666667</v>
      </c>
      <c r="F26" s="37" cm="1">
        <f t="array" aca="1" ref="F26" ca="1">INDIRECT("'" &amp; D26 &amp; "'!$M$55")</f>
        <v>5</v>
      </c>
      <c r="H26" s="63" t="s">
        <v>318</v>
      </c>
      <c r="I26" s="63">
        <f ca="1">[1]!IQR(E6:E26,FALSE)</f>
        <v>0.5</v>
      </c>
      <c r="N26" s="63" t="s">
        <v>318</v>
      </c>
      <c r="O26" s="63">
        <f ca="1">[1]!IQR(F6:F26,FALSE)</f>
        <v>0.59999999999999964</v>
      </c>
      <c r="AM26" s="105" t="s">
        <v>93</v>
      </c>
      <c r="AN26" s="65">
        <f ca="1">I63</f>
        <v>5.5714285714285712</v>
      </c>
      <c r="AO26" s="65">
        <f ca="1">O63</f>
        <v>4.4761904761904763</v>
      </c>
    </row>
    <row r="27" spans="4:41" x14ac:dyDescent="0.3">
      <c r="AM27" s="105" t="s">
        <v>95</v>
      </c>
      <c r="AN27" s="65">
        <f ca="1">I89</f>
        <v>5.9047619047619051</v>
      </c>
      <c r="AO27" s="65">
        <f ca="1">O115</f>
        <v>4.3809523809523814</v>
      </c>
    </row>
    <row r="28" spans="4:41" x14ac:dyDescent="0.3">
      <c r="E28" s="65"/>
      <c r="F28" s="65"/>
      <c r="AM28" s="105" t="s">
        <v>97</v>
      </c>
      <c r="AN28" s="65">
        <f ca="1">I115</f>
        <v>3.2857142857142856</v>
      </c>
      <c r="AO28" s="65">
        <f ca="1">O115</f>
        <v>4.3809523809523814</v>
      </c>
    </row>
    <row r="31" spans="4:41" x14ac:dyDescent="0.3">
      <c r="D31" s="2"/>
      <c r="E31" s="58" t="s">
        <v>91</v>
      </c>
      <c r="F31" s="2"/>
    </row>
    <row r="32" spans="4:41" x14ac:dyDescent="0.3">
      <c r="D32" s="2"/>
      <c r="E32" s="2"/>
      <c r="F32" s="2"/>
    </row>
    <row r="33" spans="4:32" x14ac:dyDescent="0.3">
      <c r="D33" s="2" t="s">
        <v>285</v>
      </c>
      <c r="E33" s="37" cm="1">
        <f t="array" aca="1" ref="E33" ca="1">INDIRECT("'" &amp; D33 &amp; "'!$e$55")</f>
        <v>7</v>
      </c>
      <c r="F33" s="37" cm="1">
        <f t="array" aca="1" ref="F33" ca="1">INDIRECT("'" &amp; D33 &amp; "'!$f$55")</f>
        <v>7</v>
      </c>
      <c r="H33" t="s">
        <v>300</v>
      </c>
      <c r="K33" t="s">
        <v>331</v>
      </c>
      <c r="N33" t="s">
        <v>300</v>
      </c>
      <c r="Q33" t="s">
        <v>331</v>
      </c>
      <c r="R33" s="87"/>
      <c r="T33" t="s">
        <v>338</v>
      </c>
      <c r="AD33" t="s">
        <v>358</v>
      </c>
    </row>
    <row r="34" spans="4:32" x14ac:dyDescent="0.3">
      <c r="D34" s="2" t="s">
        <v>286</v>
      </c>
      <c r="E34" s="37" cm="1">
        <f t="array" aca="1" ref="E34" ca="1">INDIRECT("'" &amp; D34 &amp; "'!$e$55")</f>
        <v>7</v>
      </c>
      <c r="F34" s="37" cm="1">
        <f t="array" aca="1" ref="F34" ca="1">INDIRECT("'" &amp; D34 &amp; "'!$f$55")</f>
        <v>6</v>
      </c>
    </row>
    <row r="35" spans="4:32" ht="15" thickBot="1" x14ac:dyDescent="0.35">
      <c r="D35" s="2" t="s">
        <v>287</v>
      </c>
      <c r="E35" s="37" cm="1">
        <f t="array" aca="1" ref="E35" ca="1">INDIRECT("'" &amp; D35 &amp; "'!$e$55")</f>
        <v>7</v>
      </c>
      <c r="F35" s="37" cm="1">
        <f t="array" aca="1" ref="F35" ca="1">INDIRECT("'" &amp; D35 &amp; "'!$f$55")</f>
        <v>7</v>
      </c>
      <c r="H35" s="64"/>
      <c r="I35" s="64" t="s">
        <v>379</v>
      </c>
      <c r="K35" s="64"/>
      <c r="L35" s="64" t="s">
        <v>379</v>
      </c>
      <c r="N35" s="64"/>
      <c r="O35" s="86" t="s">
        <v>379</v>
      </c>
      <c r="Q35" s="92"/>
      <c r="R35" s="91" t="s">
        <v>379</v>
      </c>
      <c r="T35" s="79" t="s">
        <v>339</v>
      </c>
      <c r="U35" s="96"/>
      <c r="W35" t="s">
        <v>340</v>
      </c>
      <c r="X35">
        <v>0.05</v>
      </c>
      <c r="Z35" t="s">
        <v>341</v>
      </c>
      <c r="AA35">
        <v>0</v>
      </c>
      <c r="AE35" t="s">
        <v>381</v>
      </c>
      <c r="AF35" t="s">
        <v>382</v>
      </c>
    </row>
    <row r="36" spans="4:32" ht="15" thickTop="1" x14ac:dyDescent="0.3">
      <c r="D36" s="2" t="s">
        <v>288</v>
      </c>
      <c r="E36" s="37" cm="1">
        <f t="array" aca="1" ref="E36" ca="1">INDIRECT("'" &amp; D36 &amp; "'!$e$55")</f>
        <v>7</v>
      </c>
      <c r="F36" s="37" cm="1">
        <f t="array" aca="1" ref="F36" ca="1">INDIRECT("'" &amp; D36 &amp; "'!$f$55")</f>
        <v>7</v>
      </c>
      <c r="H36" t="s">
        <v>301</v>
      </c>
      <c r="I36" s="65">
        <f ca="1">AVERAGE(E33:E53)</f>
        <v>6.8571428571428568</v>
      </c>
      <c r="K36" t="s">
        <v>332</v>
      </c>
      <c r="L36">
        <f ca="1">[1]!SHAPIRO(E33:E53)</f>
        <v>0.34310739758956649</v>
      </c>
      <c r="N36" t="s">
        <v>301</v>
      </c>
      <c r="O36" s="65">
        <f ca="1">AVERAGE(F33:F53)</f>
        <v>6.7619047619047619</v>
      </c>
      <c r="Q36" t="s">
        <v>332</v>
      </c>
      <c r="R36" s="74">
        <f ca="1">[1]!SHAPIRO(F33:F53)</f>
        <v>0.50837459187726264</v>
      </c>
      <c r="T36" s="97" t="s">
        <v>342</v>
      </c>
      <c r="U36" s="97" t="s">
        <v>313</v>
      </c>
      <c r="V36" s="97" t="s">
        <v>301</v>
      </c>
      <c r="W36" s="97" t="s">
        <v>343</v>
      </c>
      <c r="X36" s="97" t="s">
        <v>344</v>
      </c>
      <c r="Y36" s="97" t="s">
        <v>345</v>
      </c>
      <c r="Z36" s="97" t="s">
        <v>346</v>
      </c>
      <c r="AA36" s="97" t="s">
        <v>347</v>
      </c>
      <c r="AB36" s="97" t="s">
        <v>348</v>
      </c>
      <c r="AD36" t="s">
        <v>359</v>
      </c>
      <c r="AE36" s="102">
        <f ca="1">MEDIAN(E33:E53)</f>
        <v>7</v>
      </c>
      <c r="AF36" s="103">
        <f ca="1">MEDIAN(F33:F53)</f>
        <v>7</v>
      </c>
    </row>
    <row r="37" spans="4:32" x14ac:dyDescent="0.3">
      <c r="D37" s="2" t="s">
        <v>289</v>
      </c>
      <c r="E37" s="37" cm="1">
        <f t="array" aca="1" ref="E37" ca="1">INDIRECT("'" &amp; D37 &amp; "'!$e$55")</f>
        <v>7</v>
      </c>
      <c r="F37" s="37" cm="1">
        <f t="array" aca="1" ref="F37" ca="1">INDIRECT("'" &amp; D37 &amp; "'!$f$55")</f>
        <v>7</v>
      </c>
      <c r="H37" t="s">
        <v>302</v>
      </c>
      <c r="I37">
        <f ca="1">_xlfn.STDEV.S(E33:E53)/SQRT(COUNT(E33:E53))</f>
        <v>0.1043281061914602</v>
      </c>
      <c r="K37" t="s">
        <v>333</v>
      </c>
      <c r="L37">
        <f ca="1">[1]!SWTEST(E33:E53)</f>
        <v>9.6877299515796267E-9</v>
      </c>
      <c r="N37" t="s">
        <v>302</v>
      </c>
      <c r="O37">
        <f ca="1">_xlfn.STDEV.S(F33:F53)/SQRT(COUNT(F33:F53))</f>
        <v>0.11761037176408067</v>
      </c>
      <c r="Q37" t="s">
        <v>333</v>
      </c>
      <c r="R37" s="74">
        <f ca="1">[1]!SWTEST(F33:F53)</f>
        <v>2.4319980329590152E-7</v>
      </c>
      <c r="T37" t="s">
        <v>379</v>
      </c>
      <c r="U37">
        <f ca="1">COUNT(E33:E53)</f>
        <v>21</v>
      </c>
      <c r="V37" s="65">
        <f ca="1">AVERAGE(E33:E53)</f>
        <v>6.8571428571428568</v>
      </c>
      <c r="W37">
        <f ca="1">_xlfn.STDEV.S(E33:E53)</f>
        <v>0.47809144373375739</v>
      </c>
    </row>
    <row r="38" spans="4:32" x14ac:dyDescent="0.3">
      <c r="D38" s="2" t="s">
        <v>290</v>
      </c>
      <c r="E38" s="37" cm="1">
        <f t="array" aca="1" ref="E38" ca="1">INDIRECT("'" &amp; D38 &amp; "'!$e$55")</f>
        <v>7</v>
      </c>
      <c r="F38" s="37" cm="1">
        <f t="array" aca="1" ref="F38" ca="1">INDIRECT("'" &amp; D38 &amp; "'!$f$55")</f>
        <v>7</v>
      </c>
      <c r="H38" t="s">
        <v>303</v>
      </c>
      <c r="I38" s="65">
        <f ca="1">MEDIAN(E33:E53)</f>
        <v>7</v>
      </c>
      <c r="K38" t="s">
        <v>334</v>
      </c>
      <c r="L38">
        <v>0.05</v>
      </c>
      <c r="N38" t="s">
        <v>303</v>
      </c>
      <c r="O38" s="65">
        <f ca="1">MEDIAN(F33:F53)</f>
        <v>7</v>
      </c>
      <c r="Q38" t="s">
        <v>334</v>
      </c>
      <c r="R38" s="74">
        <v>0.05</v>
      </c>
      <c r="T38" t="s">
        <v>380</v>
      </c>
      <c r="U38">
        <f ca="1">COUNT(F33:F53)</f>
        <v>21</v>
      </c>
      <c r="V38" s="65">
        <f ca="1">AVERAGE(F33:F53)</f>
        <v>6.7619047619047619</v>
      </c>
      <c r="W38">
        <f ca="1">_xlfn.STDEV.S(F33:F53)</f>
        <v>0.53895843112079667</v>
      </c>
      <c r="AD38" t="s">
        <v>360</v>
      </c>
      <c r="AE38" s="88">
        <f ca="1">SUMPRODUCT(--ISNUMBER(E33:E53),--ISNUMBER(F33:F53))</f>
        <v>21</v>
      </c>
    </row>
    <row r="39" spans="4:32" x14ac:dyDescent="0.3">
      <c r="D39" s="2" t="s">
        <v>291</v>
      </c>
      <c r="E39" s="37" cm="1">
        <f t="array" aca="1" ref="E39" ca="1">INDIRECT("'" &amp; D39 &amp; "'!$e$55")</f>
        <v>7</v>
      </c>
      <c r="F39" s="37" cm="1">
        <f t="array" aca="1" ref="F39" ca="1">INDIRECT("'" &amp; D39 &amp; "'!$f$55")</f>
        <v>7</v>
      </c>
      <c r="H39" t="s">
        <v>304</v>
      </c>
      <c r="I39">
        <f ca="1">MODE(E33:E53)</f>
        <v>7</v>
      </c>
      <c r="K39" s="63" t="s">
        <v>335</v>
      </c>
      <c r="L39" s="66" t="str">
        <f ca="1">IF(L37&lt;L38,"no","yes")</f>
        <v>no</v>
      </c>
      <c r="N39" t="s">
        <v>304</v>
      </c>
      <c r="O39">
        <f ca="1">MODE(F33:F53)</f>
        <v>7</v>
      </c>
      <c r="Q39" s="63" t="s">
        <v>335</v>
      </c>
      <c r="R39" s="93" t="str">
        <f ca="1">IF(R37&lt;R38,"no","yes")</f>
        <v>no</v>
      </c>
      <c r="T39" s="98" t="s">
        <v>349</v>
      </c>
      <c r="U39" s="99">
        <f ca="1">U38</f>
        <v>21</v>
      </c>
      <c r="V39" s="100">
        <f ca="1">V37-V38</f>
        <v>9.52380952380949E-2</v>
      </c>
      <c r="W39" s="85">
        <f t="array" aca="1" ref="W39" ca="1">_xlfn.STDEV.S(E33:E53-F33:F53)</f>
        <v>0.53895843112079656</v>
      </c>
      <c r="X39" s="85">
        <f ca="1">W39/SQRT(U39)</f>
        <v>0.11761037176408065</v>
      </c>
      <c r="Y39" s="85">
        <f ca="1">(V37-V38-AA35)/X39</f>
        <v>0.80977633017891315</v>
      </c>
      <c r="Z39" s="85">
        <f ca="1">U39-1</f>
        <v>20</v>
      </c>
      <c r="AA39" s="85">
        <f ca="1">ABS(V37-V38-AA35)/W39</f>
        <v>0.17670768233468681</v>
      </c>
      <c r="AB39" s="85">
        <f ca="1">SQRT(Y39^2/(Y39^2+Z39))</f>
        <v>0.17817416127494898</v>
      </c>
      <c r="AD39" t="s">
        <v>361</v>
      </c>
      <c r="AE39" s="74">
        <f ca="1">SUMPRODUCT(--ISNUMBER(E33:E53),--ISNUMBER(F33:F53),--(E33:E53&lt;&gt;F33:F53))</f>
        <v>3</v>
      </c>
    </row>
    <row r="40" spans="4:32" x14ac:dyDescent="0.3">
      <c r="D40" s="2" t="s">
        <v>292</v>
      </c>
      <c r="E40" s="37" cm="1">
        <f t="array" aca="1" ref="E40" ca="1">INDIRECT("'" &amp; D40 &amp; "'!$e$55")</f>
        <v>7</v>
      </c>
      <c r="F40" s="37" cm="1">
        <f t="array" aca="1" ref="F40" ca="1">INDIRECT("'" &amp; D40 &amp; "'!$f$55")</f>
        <v>7</v>
      </c>
      <c r="H40" t="s">
        <v>305</v>
      </c>
      <c r="I40">
        <f ca="1">_xlfn.STDEV.S(E33:E53)</f>
        <v>0.47809144373375739</v>
      </c>
      <c r="N40" t="s">
        <v>305</v>
      </c>
      <c r="O40">
        <f ca="1">_xlfn.STDEV.S(F33:F53)</f>
        <v>0.53895843112079667</v>
      </c>
      <c r="R40" s="74"/>
      <c r="AD40" t="s">
        <v>362</v>
      </c>
      <c r="AE40" s="74">
        <f ca="1">IF(AE42&lt;=AE45,AE42,AE39*(AE39+1)/2)</f>
        <v>1.5</v>
      </c>
    </row>
    <row r="41" spans="4:32" ht="15" thickBot="1" x14ac:dyDescent="0.35">
      <c r="D41" s="2" t="s">
        <v>293</v>
      </c>
      <c r="E41" s="37" cm="1">
        <f t="array" aca="1" ref="E41" ca="1">INDIRECT("'" &amp; D41 &amp; "'!$e$55")</f>
        <v>7</v>
      </c>
      <c r="F41" s="37" cm="1">
        <f t="array" aca="1" ref="F41" ca="1">INDIRECT("'" &amp; D41 &amp; "'!$f$55")</f>
        <v>7</v>
      </c>
      <c r="H41" t="s">
        <v>306</v>
      </c>
      <c r="I41">
        <f ca="1">_xlfn.VAR.S(E33:E53)</f>
        <v>0.22857142857142851</v>
      </c>
      <c r="K41" t="s">
        <v>336</v>
      </c>
      <c r="N41" t="s">
        <v>306</v>
      </c>
      <c r="O41">
        <f ca="1">_xlfn.VAR.S(F33:F53)</f>
        <v>0.29047619047619055</v>
      </c>
      <c r="Q41" t="s">
        <v>336</v>
      </c>
      <c r="R41" s="90"/>
      <c r="T41" t="s">
        <v>350</v>
      </c>
      <c r="AD41" t="s">
        <v>363</v>
      </c>
      <c r="AE41" s="74">
        <f ca="1">AE39*(AE39+1)/2-AE40</f>
        <v>4.5</v>
      </c>
    </row>
    <row r="42" spans="4:32" ht="15" thickTop="1" x14ac:dyDescent="0.3">
      <c r="D42" s="2" t="s">
        <v>294</v>
      </c>
      <c r="E42" s="37" cm="1">
        <f t="array" aca="1" ref="E42" ca="1">INDIRECT("'" &amp; D42 &amp; "'!$e$55")</f>
        <v>7</v>
      </c>
      <c r="F42" s="37" cm="1">
        <f t="array" aca="1" ref="F42" ca="1">INDIRECT("'" &amp; D42 &amp; "'!$f$55")</f>
        <v>7</v>
      </c>
      <c r="H42" t="s">
        <v>307</v>
      </c>
      <c r="I42">
        <f ca="1">KURT(E33:E53)</f>
        <v>12.578125</v>
      </c>
      <c r="N42" t="s">
        <v>307</v>
      </c>
      <c r="O42">
        <f ca="1">KURT(F33:F53)</f>
        <v>5.0584873902035383</v>
      </c>
      <c r="T42" s="101" t="s">
        <v>351</v>
      </c>
      <c r="U42" s="101" t="s">
        <v>333</v>
      </c>
      <c r="V42" s="101" t="s">
        <v>352</v>
      </c>
      <c r="W42" s="101" t="s">
        <v>353</v>
      </c>
      <c r="X42" s="101" t="s">
        <v>354</v>
      </c>
      <c r="Y42" s="101" t="s">
        <v>355</v>
      </c>
      <c r="AD42" t="s">
        <v>364</v>
      </c>
      <c r="AE42" s="75">
        <f ca="1">[1]!SRANK(E33:E53,F33:F53)</f>
        <v>1.5</v>
      </c>
    </row>
    <row r="43" spans="4:32" x14ac:dyDescent="0.3">
      <c r="D43" s="2" t="s">
        <v>295</v>
      </c>
      <c r="E43" s="37" cm="1">
        <f t="array" aca="1" ref="E43" ca="1">INDIRECT("'" &amp; D43 &amp; "'!$e$55")</f>
        <v>7</v>
      </c>
      <c r="F43" s="37" cm="1">
        <f t="array" aca="1" ref="F43" ca="1">INDIRECT("'" &amp; D43 &amp; "'!$f$55")</f>
        <v>7</v>
      </c>
      <c r="H43" t="s">
        <v>308</v>
      </c>
      <c r="I43">
        <f ca="1">SKEW(E33:E53)</f>
        <v>-3.5296594869406306</v>
      </c>
      <c r="K43" s="85" t="s">
        <v>337</v>
      </c>
      <c r="L43" s="85">
        <f ca="1">[1]!DAGOSTINO(E33:E53)</f>
        <v>40.459831020633032</v>
      </c>
      <c r="N43" t="s">
        <v>308</v>
      </c>
      <c r="O43">
        <f ca="1">SKEW(F33:F53)</f>
        <v>-2.3180876636898944</v>
      </c>
      <c r="Q43" s="94" t="s">
        <v>337</v>
      </c>
      <c r="R43" s="95">
        <f ca="1">[1]!DAGOSTINO(F33:F53)</f>
        <v>22.384216975950629</v>
      </c>
      <c r="T43" t="s">
        <v>356</v>
      </c>
      <c r="U43">
        <f ca="1">_xlfn.T.DIST.RT(ABS(Y39),Z39)</f>
        <v>0.21379937514757225</v>
      </c>
      <c r="V43">
        <f ca="1">_xlfn.T.INV.2T(X35*2,Z39)</f>
        <v>1.7247182429207868</v>
      </c>
      <c r="Y43" s="70" t="str">
        <f ca="1">IF(U43&lt;X35,"yes","no")</f>
        <v>no</v>
      </c>
    </row>
    <row r="44" spans="4:32" x14ac:dyDescent="0.3">
      <c r="D44" s="2" t="s">
        <v>296</v>
      </c>
      <c r="E44" s="37" cm="1">
        <f t="array" aca="1" ref="E44" ca="1">INDIRECT("'" &amp; D44 &amp; "'!$e$55")</f>
        <v>7</v>
      </c>
      <c r="F44" s="37" cm="1">
        <f t="array" aca="1" ref="F44" ca="1">INDIRECT("'" &amp; D44 &amp; "'!$f$55")</f>
        <v>7</v>
      </c>
      <c r="H44" t="s">
        <v>309</v>
      </c>
      <c r="I44" s="65">
        <f ca="1">I45-I46</f>
        <v>2</v>
      </c>
      <c r="K44" t="s">
        <v>333</v>
      </c>
      <c r="L44">
        <f ca="1">[1]!DPTEST(E33:E53)</f>
        <v>1.6377942335665807E-9</v>
      </c>
      <c r="N44" t="s">
        <v>309</v>
      </c>
      <c r="O44" s="65">
        <f ca="1">O45-O46</f>
        <v>2</v>
      </c>
      <c r="Q44" t="s">
        <v>333</v>
      </c>
      <c r="R44" s="74">
        <f ca="1">[1]!DPTEST(F33:F53)</f>
        <v>1.3782533057504764E-5</v>
      </c>
      <c r="T44" t="s">
        <v>357</v>
      </c>
      <c r="U44">
        <f ca="1">_xlfn.T.DIST.2T(ABS(Y39),Z39)</f>
        <v>0.42759875029514449</v>
      </c>
      <c r="V44">
        <f ca="1">_xlfn.T.INV.2T(X35,Z39)</f>
        <v>2.0859634472658648</v>
      </c>
      <c r="W44">
        <f ca="1">(V37-V38)-X39*V44</f>
        <v>-0.15009284128112671</v>
      </c>
      <c r="X44">
        <f ca="1">(V37-V38)+X39*V44</f>
        <v>0.34056903175731651</v>
      </c>
      <c r="Y44" s="70" t="str">
        <f ca="1">IF(U44&lt;X35,"yes","no")</f>
        <v>no</v>
      </c>
      <c r="AE44" s="70" t="s">
        <v>365</v>
      </c>
      <c r="AF44" s="70" t="s">
        <v>366</v>
      </c>
    </row>
    <row r="45" spans="4:32" x14ac:dyDescent="0.3">
      <c r="D45" s="2" t="s">
        <v>297</v>
      </c>
      <c r="E45" s="37" cm="1">
        <f t="array" aca="1" ref="E45" ca="1">INDIRECT("'" &amp; D45 &amp; "'!$e$55")</f>
        <v>6</v>
      </c>
      <c r="F45" s="37" cm="1">
        <f t="array" aca="1" ref="F45" ca="1">INDIRECT("'" &amp; D45 &amp; "'!$f$55")</f>
        <v>6</v>
      </c>
      <c r="H45" t="s">
        <v>310</v>
      </c>
      <c r="I45" s="65">
        <f ca="1">MAX(E33:E53)</f>
        <v>7</v>
      </c>
      <c r="K45" t="s">
        <v>334</v>
      </c>
      <c r="L45">
        <v>0.05</v>
      </c>
      <c r="N45" t="s">
        <v>310</v>
      </c>
      <c r="O45" s="65">
        <f ca="1">MAX(F33:F53)</f>
        <v>7</v>
      </c>
      <c r="Q45" t="s">
        <v>334</v>
      </c>
      <c r="R45" s="89">
        <v>0.05</v>
      </c>
      <c r="T45" s="85"/>
      <c r="U45" s="85"/>
      <c r="V45" s="85"/>
      <c r="W45" s="85"/>
      <c r="X45" s="85"/>
      <c r="Y45" s="85"/>
      <c r="AD45" t="s">
        <v>367</v>
      </c>
      <c r="AE45" s="88">
        <f ca="1">AE39*(AE39+1)/4</f>
        <v>3</v>
      </c>
    </row>
    <row r="46" spans="4:32" x14ac:dyDescent="0.3">
      <c r="D46" s="2" t="s">
        <v>298</v>
      </c>
      <c r="E46" s="37" cm="1">
        <f t="array" aca="1" ref="E46" ca="1">INDIRECT("'" &amp; D46 &amp; "'!$e$55")</f>
        <v>7</v>
      </c>
      <c r="F46" s="37" cm="1">
        <f t="array" aca="1" ref="F46" ca="1">INDIRECT("'" &amp; D46 &amp; "'!$f$55")</f>
        <v>7</v>
      </c>
      <c r="H46" t="s">
        <v>311</v>
      </c>
      <c r="I46" s="65">
        <f ca="1">MIN(E33:E53)</f>
        <v>5</v>
      </c>
      <c r="K46" s="63" t="s">
        <v>335</v>
      </c>
      <c r="L46" s="66" t="str">
        <f ca="1">IF(L44&lt;L45,"no","yes")</f>
        <v>no</v>
      </c>
      <c r="N46" t="s">
        <v>311</v>
      </c>
      <c r="O46" s="65">
        <f ca="1">MIN(F33:F53)</f>
        <v>5</v>
      </c>
      <c r="Q46" s="63" t="s">
        <v>335</v>
      </c>
      <c r="R46" s="93" t="str">
        <f ca="1">IF(R44&lt;R45,"no","yes")</f>
        <v>no</v>
      </c>
      <c r="T46" s="63"/>
      <c r="U46" s="66"/>
      <c r="AD46" t="s">
        <v>368</v>
      </c>
      <c r="AE46" s="74">
        <f ca="1">SQRT(AE45*(2*AE39+1)/6-[1]!TiesCorrection(E33:E53,F33:F53,1)/48)</f>
        <v>1.8371173070873836</v>
      </c>
      <c r="AF46" t="s">
        <v>369</v>
      </c>
    </row>
    <row r="47" spans="4:32" x14ac:dyDescent="0.3">
      <c r="D47" s="2" t="s">
        <v>299</v>
      </c>
      <c r="E47" s="37" cm="1">
        <f t="array" aca="1" ref="E47" ca="1">INDIRECT("'" &amp; D47 &amp; "'!$e$55")</f>
        <v>7</v>
      </c>
      <c r="F47" s="37" cm="1">
        <f t="array" aca="1" ref="F47" ca="1">INDIRECT("'" &amp; D47 &amp; "'!$f$55")</f>
        <v>5</v>
      </c>
      <c r="H47" t="s">
        <v>312</v>
      </c>
      <c r="I47" s="65">
        <f ca="1">SUM(E33:E53)</f>
        <v>144</v>
      </c>
      <c r="N47" t="s">
        <v>312</v>
      </c>
      <c r="O47" s="65">
        <f ca="1">SUM(F33:F53)</f>
        <v>142</v>
      </c>
      <c r="R47" s="74"/>
      <c r="AD47" t="s">
        <v>370</v>
      </c>
      <c r="AE47" s="74">
        <f ca="1">ABS(ABS(AE42-AE45)-1/2)/AE46</f>
        <v>0.54433105395181736</v>
      </c>
      <c r="AF47" t="s">
        <v>371</v>
      </c>
    </row>
    <row r="48" spans="4:32" x14ac:dyDescent="0.3">
      <c r="D48" s="2" t="s">
        <v>395</v>
      </c>
      <c r="E48" s="37" cm="1">
        <f t="array" aca="1" ref="E48" ca="1">INDIRECT("'" &amp; D48 &amp; "'!$e$55")</f>
        <v>7</v>
      </c>
      <c r="F48" s="37" cm="1">
        <f t="array" aca="1" ref="F48" ca="1">INDIRECT("'" &amp; D48 &amp; "'!$f$55")</f>
        <v>7</v>
      </c>
      <c r="H48" t="s">
        <v>313</v>
      </c>
      <c r="I48">
        <f ca="1">COUNT(E33:E53)</f>
        <v>21</v>
      </c>
      <c r="N48" t="s">
        <v>313</v>
      </c>
      <c r="O48">
        <f ca="1">COUNT(F33:F53)</f>
        <v>21</v>
      </c>
      <c r="R48" s="90"/>
      <c r="AD48" t="s">
        <v>372</v>
      </c>
      <c r="AE48" s="74">
        <f ca="1">AE47/SQRT(AE39)</f>
        <v>0.31426968052735449</v>
      </c>
    </row>
    <row r="49" spans="4:32" x14ac:dyDescent="0.3">
      <c r="D49" s="2" t="s">
        <v>396</v>
      </c>
      <c r="E49" s="37" cm="1">
        <f t="array" aca="1" ref="E49" ca="1">INDIRECT("'" &amp; D49 &amp; "'!$e$55")</f>
        <v>7</v>
      </c>
      <c r="F49" s="37" cm="1">
        <f t="array" aca="1" ref="F49" ca="1">INDIRECT("'" &amp; D49 &amp; "'!$f$55")</f>
        <v>7</v>
      </c>
      <c r="H49" t="s">
        <v>314</v>
      </c>
      <c r="I49">
        <f ca="1">GEOMEAN(E33:E53)</f>
        <v>6.8383546402996718</v>
      </c>
      <c r="N49" t="s">
        <v>314</v>
      </c>
      <c r="O49">
        <f ca="1">GEOMEAN(F33:F53)</f>
        <v>6.7386939885771087</v>
      </c>
      <c r="AD49" t="s">
        <v>373</v>
      </c>
      <c r="AE49" s="88">
        <f ca="1">1-_xlfn.NORM.S.DIST(AE47,TRUE)</f>
        <v>0.29310684053656999</v>
      </c>
      <c r="AF49" s="104">
        <f ca="1">2*AE49</f>
        <v>0.58621368107313998</v>
      </c>
    </row>
    <row r="50" spans="4:32" x14ac:dyDescent="0.3">
      <c r="D50" s="2" t="s">
        <v>397</v>
      </c>
      <c r="E50" s="37" cm="1">
        <f t="array" aca="1" ref="E50" ca="1">INDIRECT("'" &amp; D50 &amp; "'!$e$55")</f>
        <v>5</v>
      </c>
      <c r="F50" s="37" cm="1">
        <f t="array" aca="1" ref="F50" ca="1">INDIRECT("'" &amp; D50 &amp; "'!$f$55")</f>
        <v>6</v>
      </c>
      <c r="H50" t="s">
        <v>315</v>
      </c>
      <c r="I50">
        <f ca="1">HARMEAN(E33:E53)</f>
        <v>6.8160741885625979</v>
      </c>
      <c r="N50" t="s">
        <v>315</v>
      </c>
      <c r="O50">
        <f ca="1">HARMEAN(F33:F53)</f>
        <v>6.7123287671232887</v>
      </c>
      <c r="R50" s="87"/>
      <c r="AD50" t="s">
        <v>374</v>
      </c>
      <c r="AE50" s="74">
        <f ca="1">[1]!SRDIST(AE42,AE39,1)</f>
        <v>0.25</v>
      </c>
      <c r="AF50" s="77">
        <f ca="1">2*AE50</f>
        <v>0.5</v>
      </c>
    </row>
    <row r="51" spans="4:32" x14ac:dyDescent="0.3">
      <c r="D51" s="2" t="s">
        <v>398</v>
      </c>
      <c r="E51" s="37" cm="1">
        <f t="array" aca="1" ref="E51" ca="1">INDIRECT("'" &amp; D51 &amp; "'!$e$55")</f>
        <v>7</v>
      </c>
      <c r="F51" s="37" cm="1">
        <f t="array" aca="1" ref="F51" ca="1">INDIRECT("'" &amp; D51 &amp; "'!$f$55")</f>
        <v>7</v>
      </c>
      <c r="H51" t="s">
        <v>316</v>
      </c>
      <c r="I51">
        <f ca="1">AVEDEV(E33:E53)</f>
        <v>0.2585034013605445</v>
      </c>
      <c r="N51" t="s">
        <v>316</v>
      </c>
      <c r="O51">
        <f ca="1">AVEDEV(F33:F53)</f>
        <v>0.3854875283446712</v>
      </c>
      <c r="AD51" t="s">
        <v>375</v>
      </c>
      <c r="AE51" s="75" t="s">
        <v>376</v>
      </c>
      <c r="AF51" s="78" t="s">
        <v>376</v>
      </c>
    </row>
    <row r="52" spans="4:32" x14ac:dyDescent="0.3">
      <c r="D52" s="2" t="s">
        <v>399</v>
      </c>
      <c r="E52" s="37" cm="1">
        <f t="array" aca="1" ref="E52" ca="1">INDIRECT("'" &amp; D52 &amp; "'!$e$55")</f>
        <v>7</v>
      </c>
      <c r="F52" s="37" cm="1">
        <f t="array" aca="1" ref="F52" ca="1">INDIRECT("'" &amp; D52 &amp; "'!$f$55")</f>
        <v>7</v>
      </c>
      <c r="H52" t="s">
        <v>317</v>
      </c>
      <c r="I52">
        <f ca="1">[1]!MAD(E33:E53)</f>
        <v>0</v>
      </c>
      <c r="N52" t="s">
        <v>317</v>
      </c>
      <c r="O52">
        <f ca="1">[1]!MAD(F33:F53)</f>
        <v>0</v>
      </c>
    </row>
    <row r="53" spans="4:32" x14ac:dyDescent="0.3">
      <c r="D53" s="2" t="s">
        <v>400</v>
      </c>
      <c r="E53" s="37" cm="1">
        <f t="array" aca="1" ref="E53" ca="1">INDIRECT("'" &amp; D53 &amp; "'!$e$55")</f>
        <v>7</v>
      </c>
      <c r="F53" s="37" cm="1">
        <f t="array" aca="1" ref="F53" ca="1">INDIRECT("'" &amp; D53 &amp; "'!$f$55")</f>
        <v>7</v>
      </c>
      <c r="H53" s="63" t="s">
        <v>318</v>
      </c>
      <c r="I53" s="63">
        <f ca="1">[1]!IQR(E33:E53,FALSE)</f>
        <v>0</v>
      </c>
      <c r="N53" s="63" t="s">
        <v>318</v>
      </c>
      <c r="O53" s="63">
        <f ca="1">[1]!IQR(F33:F53,FALSE)</f>
        <v>0</v>
      </c>
    </row>
    <row r="58" spans="4:32" x14ac:dyDescent="0.3">
      <c r="D58" s="2"/>
      <c r="E58" s="105" t="s">
        <v>93</v>
      </c>
      <c r="F58" s="2"/>
    </row>
    <row r="59" spans="4:32" x14ac:dyDescent="0.3">
      <c r="D59" s="2"/>
      <c r="E59" s="2"/>
      <c r="F59" s="2"/>
    </row>
    <row r="60" spans="4:32" x14ac:dyDescent="0.3">
      <c r="D60" s="2" t="s">
        <v>285</v>
      </c>
      <c r="E60" s="37" cm="1">
        <f t="array" aca="1" ref="E60" ca="1">INDIRECT("'" &amp; D60 &amp; "'!$e$56")</f>
        <v>6</v>
      </c>
      <c r="F60" s="37" cm="1">
        <f t="array" aca="1" ref="F60" ca="1">INDIRECT("'" &amp; D60 &amp; "'!$f$56")</f>
        <v>4</v>
      </c>
      <c r="H60" t="s">
        <v>300</v>
      </c>
      <c r="K60" t="s">
        <v>331</v>
      </c>
      <c r="N60" t="s">
        <v>300</v>
      </c>
      <c r="Q60" t="s">
        <v>331</v>
      </c>
      <c r="R60" s="87"/>
      <c r="T60" t="s">
        <v>338</v>
      </c>
      <c r="AD60" t="s">
        <v>358</v>
      </c>
    </row>
    <row r="61" spans="4:32" x14ac:dyDescent="0.3">
      <c r="D61" s="2" t="s">
        <v>286</v>
      </c>
      <c r="E61" s="37" cm="1">
        <f t="array" aca="1" ref="E61" ca="1">INDIRECT("'" &amp; D61 &amp; "'!$e$56")</f>
        <v>6</v>
      </c>
      <c r="F61" s="37" cm="1">
        <f t="array" aca="1" ref="F61" ca="1">INDIRECT("'" &amp; D61 &amp; "'!$f$56")</f>
        <v>6</v>
      </c>
    </row>
    <row r="62" spans="4:32" ht="15" thickBot="1" x14ac:dyDescent="0.35">
      <c r="D62" s="2" t="s">
        <v>287</v>
      </c>
      <c r="E62" s="37" cm="1">
        <f t="array" aca="1" ref="E62" ca="1">INDIRECT("'" &amp; D62 &amp; "'!$e$56")</f>
        <v>7</v>
      </c>
      <c r="F62" s="37" cm="1">
        <f t="array" aca="1" ref="F62" ca="1">INDIRECT("'" &amp; D62 &amp; "'!$f$56")</f>
        <v>6</v>
      </c>
      <c r="H62" s="64"/>
      <c r="I62" s="64" t="s">
        <v>379</v>
      </c>
      <c r="K62" s="64"/>
      <c r="L62" s="64" t="s">
        <v>379</v>
      </c>
      <c r="N62" s="64"/>
      <c r="O62" s="86" t="s">
        <v>379</v>
      </c>
      <c r="Q62" s="92"/>
      <c r="R62" s="91" t="s">
        <v>379</v>
      </c>
      <c r="T62" s="79" t="s">
        <v>339</v>
      </c>
      <c r="U62" s="96"/>
      <c r="W62" t="s">
        <v>340</v>
      </c>
      <c r="X62">
        <v>0.05</v>
      </c>
      <c r="Z62" t="s">
        <v>341</v>
      </c>
      <c r="AA62">
        <v>0</v>
      </c>
      <c r="AE62" t="s">
        <v>381</v>
      </c>
      <c r="AF62" t="s">
        <v>382</v>
      </c>
    </row>
    <row r="63" spans="4:32" ht="15" thickTop="1" x14ac:dyDescent="0.3">
      <c r="D63" s="2" t="s">
        <v>288</v>
      </c>
      <c r="E63" s="37" cm="1">
        <f t="array" aca="1" ref="E63" ca="1">INDIRECT("'" &amp; D63 &amp; "'!$e$56")</f>
        <v>7</v>
      </c>
      <c r="F63" s="37" cm="1">
        <f t="array" aca="1" ref="F63" ca="1">INDIRECT("'" &amp; D63 &amp; "'!$f$56")</f>
        <v>5</v>
      </c>
      <c r="H63" t="s">
        <v>301</v>
      </c>
      <c r="I63" s="65">
        <f ca="1">AVERAGE(E60:E80)</f>
        <v>5.5714285714285712</v>
      </c>
      <c r="K63" t="s">
        <v>332</v>
      </c>
      <c r="L63">
        <f ca="1">[1]!SHAPIRO(E60:E80)</f>
        <v>0.84623371705922701</v>
      </c>
      <c r="N63" t="s">
        <v>301</v>
      </c>
      <c r="O63" s="65">
        <f ca="1">AVERAGE(F60:F80)</f>
        <v>4.4761904761904763</v>
      </c>
      <c r="Q63" t="s">
        <v>332</v>
      </c>
      <c r="R63" s="74">
        <f ca="1">[1]!SHAPIRO(F60:F80)</f>
        <v>0.88482985753649301</v>
      </c>
      <c r="T63" s="97" t="s">
        <v>342</v>
      </c>
      <c r="U63" s="97" t="s">
        <v>313</v>
      </c>
      <c r="V63" s="97" t="s">
        <v>301</v>
      </c>
      <c r="W63" s="97" t="s">
        <v>343</v>
      </c>
      <c r="X63" s="97" t="s">
        <v>344</v>
      </c>
      <c r="Y63" s="97" t="s">
        <v>345</v>
      </c>
      <c r="Z63" s="97" t="s">
        <v>346</v>
      </c>
      <c r="AA63" s="97" t="s">
        <v>347</v>
      </c>
      <c r="AB63" s="97" t="s">
        <v>348</v>
      </c>
      <c r="AD63" t="s">
        <v>359</v>
      </c>
      <c r="AE63" s="102">
        <f ca="1">MEDIAN(E60:E80)</f>
        <v>6</v>
      </c>
      <c r="AF63" s="103">
        <f ca="1">MEDIAN(F60:F80)</f>
        <v>4</v>
      </c>
    </row>
    <row r="64" spans="4:32" x14ac:dyDescent="0.3">
      <c r="D64" s="2" t="s">
        <v>289</v>
      </c>
      <c r="E64" s="37" cm="1">
        <f t="array" aca="1" ref="E64" ca="1">INDIRECT("'" &amp; D64 &amp; "'!$e$56")</f>
        <v>6</v>
      </c>
      <c r="F64" s="37" cm="1">
        <f t="array" aca="1" ref="F64" ca="1">INDIRECT("'" &amp; D64 &amp; "'!$f$56")</f>
        <v>5</v>
      </c>
      <c r="H64" t="s">
        <v>302</v>
      </c>
      <c r="I64">
        <f ca="1">_xlfn.STDEV.S(E60:E80)/SQRT(COUNT(E60:E80))</f>
        <v>0.1898800194035892</v>
      </c>
      <c r="K64" t="s">
        <v>333</v>
      </c>
      <c r="L64">
        <f ca="1">[1]!SWTEST(E60:E80)</f>
        <v>3.6607753652413422E-3</v>
      </c>
      <c r="N64" t="s">
        <v>302</v>
      </c>
      <c r="O64">
        <f ca="1">_xlfn.STDEV.S(F60:F80)/SQRT(COUNT(F60:F80))</f>
        <v>0.22487083720223994</v>
      </c>
      <c r="Q64" t="s">
        <v>333</v>
      </c>
      <c r="R64" s="74">
        <f ca="1">[1]!SWTEST(F60:F80)</f>
        <v>1.7972671608028512E-2</v>
      </c>
      <c r="T64" t="s">
        <v>379</v>
      </c>
      <c r="U64">
        <f ca="1">COUNT(E60:E80)</f>
        <v>21</v>
      </c>
      <c r="V64" s="65">
        <f ca="1">AVERAGE(E60:E80)</f>
        <v>5.5714285714285712</v>
      </c>
      <c r="W64">
        <f ca="1">_xlfn.STDEV.S(E60:E80)</f>
        <v>0.87013956187663111</v>
      </c>
    </row>
    <row r="65" spans="4:32" x14ac:dyDescent="0.3">
      <c r="D65" s="2" t="s">
        <v>290</v>
      </c>
      <c r="E65" s="37" cm="1">
        <f t="array" aca="1" ref="E65" ca="1">INDIRECT("'" &amp; D65 &amp; "'!$e$56")</f>
        <v>6</v>
      </c>
      <c r="F65" s="37" cm="1">
        <f t="array" aca="1" ref="F65" ca="1">INDIRECT("'" &amp; D65 &amp; "'!$f$56")</f>
        <v>3</v>
      </c>
      <c r="H65" t="s">
        <v>303</v>
      </c>
      <c r="I65" s="65">
        <f ca="1">MEDIAN(E60:E80)</f>
        <v>6</v>
      </c>
      <c r="K65" t="s">
        <v>334</v>
      </c>
      <c r="L65">
        <v>0.05</v>
      </c>
      <c r="N65" t="s">
        <v>303</v>
      </c>
      <c r="O65" s="65">
        <f ca="1">MEDIAN(F60:F80)</f>
        <v>4</v>
      </c>
      <c r="Q65" t="s">
        <v>334</v>
      </c>
      <c r="R65" s="74">
        <v>0.05</v>
      </c>
      <c r="T65" t="s">
        <v>380</v>
      </c>
      <c r="U65">
        <f ca="1">COUNT(F60:F80)</f>
        <v>21</v>
      </c>
      <c r="V65" s="65">
        <f ca="1">AVERAGE(F60:F80)</f>
        <v>4.4761904761904763</v>
      </c>
      <c r="W65">
        <f ca="1">_xlfn.STDEV.S(F60:F80)</f>
        <v>1.0304876330673562</v>
      </c>
      <c r="AD65" t="s">
        <v>360</v>
      </c>
      <c r="AE65" s="88">
        <f ca="1">SUMPRODUCT(--ISNUMBER(E60:E80),--ISNUMBER(F60:F80))</f>
        <v>21</v>
      </c>
    </row>
    <row r="66" spans="4:32" x14ac:dyDescent="0.3">
      <c r="D66" s="2" t="s">
        <v>291</v>
      </c>
      <c r="E66" s="37" cm="1">
        <f t="array" aca="1" ref="E66" ca="1">INDIRECT("'" &amp; D66 &amp; "'!$e$56")</f>
        <v>6</v>
      </c>
      <c r="F66" s="37" cm="1">
        <f t="array" aca="1" ref="F66" ca="1">INDIRECT("'" &amp; D66 &amp; "'!$f$56")</f>
        <v>6</v>
      </c>
      <c r="H66" t="s">
        <v>304</v>
      </c>
      <c r="I66">
        <f ca="1">MODE(E60:E80)</f>
        <v>6</v>
      </c>
      <c r="K66" s="63" t="s">
        <v>335</v>
      </c>
      <c r="L66" s="66" t="str">
        <f ca="1">IF(L64&lt;L65,"no","yes")</f>
        <v>no</v>
      </c>
      <c r="N66" t="s">
        <v>304</v>
      </c>
      <c r="O66">
        <f ca="1">MODE(F60:F80)</f>
        <v>4</v>
      </c>
      <c r="Q66" s="63" t="s">
        <v>335</v>
      </c>
      <c r="R66" s="93" t="str">
        <f ca="1">IF(R64&lt;R65,"no","yes")</f>
        <v>no</v>
      </c>
      <c r="T66" s="98" t="s">
        <v>349</v>
      </c>
      <c r="U66" s="99">
        <f ca="1">U65</f>
        <v>21</v>
      </c>
      <c r="V66" s="100">
        <f ca="1">V64-V65</f>
        <v>1.0952380952380949</v>
      </c>
      <c r="W66" s="85">
        <f t="array" aca="1" ref="W66" ca="1">_xlfn.STDEV.S(E60:E80-F60:F80)</f>
        <v>0.99522670305623862</v>
      </c>
      <c r="X66" s="85">
        <f ca="1">W66/SQRT(U66)</f>
        <v>0.21717627144745488</v>
      </c>
      <c r="Y66" s="85">
        <f ca="1">(V64-V65-AA62)/X66</f>
        <v>5.0430836110154154</v>
      </c>
      <c r="Z66" s="85">
        <f ca="1">U66-1</f>
        <v>20</v>
      </c>
      <c r="AA66" s="85">
        <f ca="1">ABS(V64-V65-AA62)/W66</f>
        <v>1.1004910658794942</v>
      </c>
      <c r="AB66" s="85">
        <f ca="1">SQRT(Y66^2/(Y66^2+Z66))</f>
        <v>0.74819005592720866</v>
      </c>
      <c r="AD66" t="s">
        <v>361</v>
      </c>
      <c r="AE66" s="74">
        <f ca="1">SUMPRODUCT(--ISNUMBER(E60:E80),--ISNUMBER(F60:F80),--(E60:E80&lt;&gt;F60:F80))</f>
        <v>14</v>
      </c>
    </row>
    <row r="67" spans="4:32" x14ac:dyDescent="0.3">
      <c r="D67" s="2" t="s">
        <v>292</v>
      </c>
      <c r="E67" s="37" cm="1">
        <f t="array" aca="1" ref="E67" ca="1">INDIRECT("'" &amp; D67 &amp; "'!$e$56")</f>
        <v>5</v>
      </c>
      <c r="F67" s="37" cm="1">
        <f t="array" aca="1" ref="F67" ca="1">INDIRECT("'" &amp; D67 &amp; "'!$f$56")</f>
        <v>5</v>
      </c>
      <c r="H67" t="s">
        <v>305</v>
      </c>
      <c r="I67">
        <f ca="1">_xlfn.STDEV.S(E60:E80)</f>
        <v>0.87013956187663111</v>
      </c>
      <c r="N67" t="s">
        <v>305</v>
      </c>
      <c r="O67">
        <f ca="1">_xlfn.STDEV.S(F60:F80)</f>
        <v>1.0304876330673562</v>
      </c>
      <c r="R67" s="74"/>
      <c r="AD67" t="s">
        <v>362</v>
      </c>
      <c r="AE67" s="74">
        <f ca="1">IF(AE69&lt;=AE72,AE69,AE66*(AE66+1)/2)</f>
        <v>0</v>
      </c>
    </row>
    <row r="68" spans="4:32" ht="15" thickBot="1" x14ac:dyDescent="0.35">
      <c r="D68" s="2" t="s">
        <v>293</v>
      </c>
      <c r="E68" s="37" cm="1">
        <f t="array" aca="1" ref="E68" ca="1">INDIRECT("'" &amp; D68 &amp; "'!$e$56")</f>
        <v>6</v>
      </c>
      <c r="F68" s="37" cm="1">
        <f t="array" aca="1" ref="F68" ca="1">INDIRECT("'" &amp; D68 &amp; "'!$f$56")</f>
        <v>5</v>
      </c>
      <c r="H68" t="s">
        <v>306</v>
      </c>
      <c r="I68">
        <f ca="1">_xlfn.VAR.S(E60:E80)</f>
        <v>0.75714285714285556</v>
      </c>
      <c r="K68" t="s">
        <v>336</v>
      </c>
      <c r="N68" t="s">
        <v>306</v>
      </c>
      <c r="O68">
        <f ca="1">_xlfn.VAR.S(F60:F80)</f>
        <v>1.0619047619047621</v>
      </c>
      <c r="Q68" t="s">
        <v>336</v>
      </c>
      <c r="R68" s="90"/>
      <c r="T68" t="s">
        <v>350</v>
      </c>
      <c r="AD68" t="s">
        <v>363</v>
      </c>
      <c r="AE68" s="74">
        <f ca="1">AE66*(AE66+1)/2-AE67</f>
        <v>105</v>
      </c>
    </row>
    <row r="69" spans="4:32" ht="15" thickTop="1" x14ac:dyDescent="0.3">
      <c r="D69" s="2" t="s">
        <v>294</v>
      </c>
      <c r="E69" s="37" cm="1">
        <f t="array" aca="1" ref="E69" ca="1">INDIRECT("'" &amp; D69 &amp; "'!$e$56")</f>
        <v>6</v>
      </c>
      <c r="F69" s="37" cm="1">
        <f t="array" aca="1" ref="F69" ca="1">INDIRECT("'" &amp; D69 &amp; "'!$f$56")</f>
        <v>4</v>
      </c>
      <c r="H69" t="s">
        <v>307</v>
      </c>
      <c r="I69">
        <f ca="1">KURT(E60:E80)</f>
        <v>-0.26537507885056311</v>
      </c>
      <c r="N69" t="s">
        <v>307</v>
      </c>
      <c r="O69">
        <f ca="1">KURT(F60:F80)</f>
        <v>-1.0306069422586206</v>
      </c>
      <c r="T69" s="101" t="s">
        <v>351</v>
      </c>
      <c r="U69" s="101" t="s">
        <v>333</v>
      </c>
      <c r="V69" s="101" t="s">
        <v>352</v>
      </c>
      <c r="W69" s="101" t="s">
        <v>353</v>
      </c>
      <c r="X69" s="101" t="s">
        <v>354</v>
      </c>
      <c r="Y69" s="101" t="s">
        <v>355</v>
      </c>
      <c r="AD69" t="s">
        <v>364</v>
      </c>
      <c r="AE69" s="75">
        <f ca="1">[1]!SRANK(E60:E80,F60:F80)</f>
        <v>0</v>
      </c>
    </row>
    <row r="70" spans="4:32" x14ac:dyDescent="0.3">
      <c r="D70" s="2" t="s">
        <v>295</v>
      </c>
      <c r="E70" s="37" cm="1">
        <f t="array" aca="1" ref="E70" ca="1">INDIRECT("'" &amp; D70 &amp; "'!$e$56")</f>
        <v>6</v>
      </c>
      <c r="F70" s="37" cm="1">
        <f t="array" aca="1" ref="F70" ca="1">INDIRECT("'" &amp; D70 &amp; "'!$f$56")</f>
        <v>5</v>
      </c>
      <c r="H70" t="s">
        <v>308</v>
      </c>
      <c r="I70">
        <f ca="1">SKEW(E60:E80)</f>
        <v>-0.4930209355483185</v>
      </c>
      <c r="K70" s="85" t="s">
        <v>337</v>
      </c>
      <c r="L70" s="85">
        <f ca="1">[1]!DAGOSTINO(E60:E80)</f>
        <v>1.0563915589652044</v>
      </c>
      <c r="N70" t="s">
        <v>308</v>
      </c>
      <c r="O70">
        <f ca="1">SKEW(F60:F80)</f>
        <v>7.0313242727003469E-2</v>
      </c>
      <c r="Q70" s="94" t="s">
        <v>337</v>
      </c>
      <c r="R70" s="95">
        <f ca="1">[1]!DAGOSTINO(F60:F80)</f>
        <v>1.8964974695477559</v>
      </c>
      <c r="T70" t="s">
        <v>356</v>
      </c>
      <c r="U70">
        <f ca="1">_xlfn.T.DIST.RT(ABS(Y66),Z66)</f>
        <v>3.1127420657088652E-5</v>
      </c>
      <c r="V70">
        <f ca="1">_xlfn.T.INV.2T(X62*2,Z66)</f>
        <v>1.7247182429207868</v>
      </c>
      <c r="Y70" s="70" t="str">
        <f ca="1">IF(U70&lt;X62,"yes","no")</f>
        <v>yes</v>
      </c>
    </row>
    <row r="71" spans="4:32" x14ac:dyDescent="0.3">
      <c r="D71" s="2" t="s">
        <v>296</v>
      </c>
      <c r="E71" s="37" cm="1">
        <f t="array" aca="1" ref="E71" ca="1">INDIRECT("'" &amp; D71 &amp; "'!$e$56")</f>
        <v>5</v>
      </c>
      <c r="F71" s="37" cm="1">
        <f t="array" aca="1" ref="F71" ca="1">INDIRECT("'" &amp; D71 &amp; "'!$f$56")</f>
        <v>4</v>
      </c>
      <c r="H71" t="s">
        <v>309</v>
      </c>
      <c r="I71" s="65">
        <f ca="1">I72-I73</f>
        <v>3</v>
      </c>
      <c r="K71" t="s">
        <v>333</v>
      </c>
      <c r="L71">
        <f ca="1">[1]!DPTEST(E60:E80)</f>
        <v>0.5896679014345938</v>
      </c>
      <c r="N71" t="s">
        <v>309</v>
      </c>
      <c r="O71" s="65">
        <f ca="1">O72-O73</f>
        <v>3</v>
      </c>
      <c r="Q71" t="s">
        <v>333</v>
      </c>
      <c r="R71" s="74">
        <f ca="1">[1]!DPTEST(F60:F80)</f>
        <v>0.38741890296054438</v>
      </c>
      <c r="T71" t="s">
        <v>357</v>
      </c>
      <c r="U71">
        <f ca="1">_xlfn.T.DIST.2T(ABS(Y66),Z66)</f>
        <v>6.2254841314177305E-5</v>
      </c>
      <c r="V71">
        <f ca="1">_xlfn.T.INV.2T(X62,Z66)</f>
        <v>2.0859634472658648</v>
      </c>
      <c r="W71">
        <f ca="1">(V64-V65)-X66*V71</f>
        <v>0.64221633138521472</v>
      </c>
      <c r="X71">
        <f ca="1">(V64-V65)+X66*V71</f>
        <v>1.5482598590909751</v>
      </c>
      <c r="Y71" s="70" t="str">
        <f ca="1">IF(U71&lt;X62,"yes","no")</f>
        <v>yes</v>
      </c>
      <c r="AE71" s="70" t="s">
        <v>365</v>
      </c>
      <c r="AF71" s="70" t="s">
        <v>366</v>
      </c>
    </row>
    <row r="72" spans="4:32" x14ac:dyDescent="0.3">
      <c r="D72" s="2" t="s">
        <v>297</v>
      </c>
      <c r="E72" s="37" cm="1">
        <f t="array" aca="1" ref="E72" ca="1">INDIRECT("'" &amp; D72 &amp; "'!$e$56")</f>
        <v>4</v>
      </c>
      <c r="F72" s="37" cm="1">
        <f t="array" aca="1" ref="F72" ca="1">INDIRECT("'" &amp; D72 &amp; "'!$f$56")</f>
        <v>4</v>
      </c>
      <c r="H72" t="s">
        <v>310</v>
      </c>
      <c r="I72" s="65">
        <f ca="1">MAX(E60:E80)</f>
        <v>7</v>
      </c>
      <c r="K72" t="s">
        <v>334</v>
      </c>
      <c r="L72">
        <v>0.05</v>
      </c>
      <c r="N72" t="s">
        <v>310</v>
      </c>
      <c r="O72" s="65">
        <f ca="1">MAX(F60:F80)</f>
        <v>6</v>
      </c>
      <c r="Q72" t="s">
        <v>334</v>
      </c>
      <c r="R72" s="89">
        <v>0.05</v>
      </c>
      <c r="T72" s="85"/>
      <c r="U72" s="85"/>
      <c r="V72" s="85"/>
      <c r="W72" s="85"/>
      <c r="X72" s="85"/>
      <c r="Y72" s="85"/>
      <c r="AD72" t="s">
        <v>367</v>
      </c>
      <c r="AE72" s="88">
        <f ca="1">AE66*(AE66+1)/4</f>
        <v>52.5</v>
      </c>
    </row>
    <row r="73" spans="4:32" x14ac:dyDescent="0.3">
      <c r="D73" s="2" t="s">
        <v>298</v>
      </c>
      <c r="E73" s="37" cm="1">
        <f t="array" aca="1" ref="E73" ca="1">INDIRECT("'" &amp; D73 &amp; "'!$e$56")</f>
        <v>5</v>
      </c>
      <c r="F73" s="37" cm="1">
        <f t="array" aca="1" ref="F73" ca="1">INDIRECT("'" &amp; D73 &amp; "'!$f$56")</f>
        <v>3</v>
      </c>
      <c r="H73" t="s">
        <v>311</v>
      </c>
      <c r="I73" s="65">
        <f ca="1">MIN(E60:E80)</f>
        <v>4</v>
      </c>
      <c r="K73" s="63" t="s">
        <v>335</v>
      </c>
      <c r="L73" s="66" t="str">
        <f ca="1">IF(L71&lt;L72,"no","yes")</f>
        <v>yes</v>
      </c>
      <c r="N73" t="s">
        <v>311</v>
      </c>
      <c r="O73" s="65">
        <f ca="1">MIN(F60:F80)</f>
        <v>3</v>
      </c>
      <c r="Q73" s="63" t="s">
        <v>335</v>
      </c>
      <c r="R73" s="93" t="str">
        <f ca="1">IF(R71&lt;R72,"no","yes")</f>
        <v>yes</v>
      </c>
      <c r="T73" s="63"/>
      <c r="U73" s="66"/>
      <c r="AD73" t="s">
        <v>368</v>
      </c>
      <c r="AE73" s="74">
        <f ca="1">SQRT(AE72*(2*AE66+1)/6-[1]!TiesCorrection(E60:E80,F60:F80,1)/48)</f>
        <v>15.624499991999745</v>
      </c>
      <c r="AF73" t="s">
        <v>369</v>
      </c>
    </row>
    <row r="74" spans="4:32" x14ac:dyDescent="0.3">
      <c r="D74" s="2" t="s">
        <v>299</v>
      </c>
      <c r="E74" s="37" cm="1">
        <f t="array" aca="1" ref="E74" ca="1">INDIRECT("'" &amp; D74 &amp; "'!$e$56")</f>
        <v>6</v>
      </c>
      <c r="F74" s="37" cm="1">
        <f t="array" aca="1" ref="F74" ca="1">INDIRECT("'" &amp; D74 &amp; "'!$f$56")</f>
        <v>3</v>
      </c>
      <c r="H74" t="s">
        <v>312</v>
      </c>
      <c r="I74" s="65">
        <f ca="1">SUM(E60:E80)</f>
        <v>117</v>
      </c>
      <c r="N74" t="s">
        <v>312</v>
      </c>
      <c r="O74" s="65">
        <f ca="1">SUM(F60:F80)</f>
        <v>94</v>
      </c>
      <c r="R74" s="74"/>
      <c r="AD74" t="s">
        <v>370</v>
      </c>
      <c r="AE74" s="74">
        <f ca="1">ABS(ABS(AE69-AE72)-1/2)/AE73</f>
        <v>3.3281065011120803</v>
      </c>
      <c r="AF74" t="s">
        <v>371</v>
      </c>
    </row>
    <row r="75" spans="4:32" x14ac:dyDescent="0.3">
      <c r="D75" s="2" t="s">
        <v>395</v>
      </c>
      <c r="E75" s="37" cm="1">
        <f t="array" aca="1" ref="E75" ca="1">INDIRECT("'" &amp; D75 &amp; "'!$e$56")</f>
        <v>6</v>
      </c>
      <c r="F75" s="37" cm="1">
        <f t="array" aca="1" ref="F75" ca="1">INDIRECT("'" &amp; D75 &amp; "'!$f$56")</f>
        <v>5</v>
      </c>
      <c r="H75" t="s">
        <v>313</v>
      </c>
      <c r="I75">
        <f ca="1">COUNT(E60:E80)</f>
        <v>21</v>
      </c>
      <c r="N75" t="s">
        <v>313</v>
      </c>
      <c r="O75">
        <f ca="1">COUNT(F60:F80)</f>
        <v>21</v>
      </c>
      <c r="R75" s="90"/>
      <c r="AD75" t="s">
        <v>372</v>
      </c>
      <c r="AE75" s="74">
        <f ca="1">AE74/SQRT(AE66)</f>
        <v>0.889473876704028</v>
      </c>
    </row>
    <row r="76" spans="4:32" x14ac:dyDescent="0.3">
      <c r="D76" s="2" t="s">
        <v>396</v>
      </c>
      <c r="E76" s="37" cm="1">
        <f t="array" aca="1" ref="E76" ca="1">INDIRECT("'" &amp; D76 &amp; "'!$e$56")</f>
        <v>4</v>
      </c>
      <c r="F76" s="37" cm="1">
        <f t="array" aca="1" ref="F76" ca="1">INDIRECT("'" &amp; D76 &amp; "'!$f$56")</f>
        <v>4</v>
      </c>
      <c r="H76" t="s">
        <v>314</v>
      </c>
      <c r="I76">
        <f ca="1">GEOMEAN(E60:E80)</f>
        <v>5.5019743745207093</v>
      </c>
      <c r="N76" t="s">
        <v>314</v>
      </c>
      <c r="O76">
        <f ca="1">GEOMEAN(F60:F80)</f>
        <v>4.3600543611196647</v>
      </c>
      <c r="AD76" t="s">
        <v>373</v>
      </c>
      <c r="AE76" s="88">
        <f ca="1">1-_xlfn.NORM.S.DIST(AE74,TRUE)</f>
        <v>4.3719216370419201E-4</v>
      </c>
      <c r="AF76" s="104">
        <f ca="1">2*AE76</f>
        <v>8.7438432740838401E-4</v>
      </c>
    </row>
    <row r="77" spans="4:32" x14ac:dyDescent="0.3">
      <c r="D77" s="2" t="s">
        <v>397</v>
      </c>
      <c r="E77" s="37" cm="1">
        <f t="array" aca="1" ref="E77" ca="1">INDIRECT("'" &amp; D77 &amp; "'!$e$56")</f>
        <v>4</v>
      </c>
      <c r="F77" s="37" cm="1">
        <f t="array" aca="1" ref="F77" ca="1">INDIRECT("'" &amp; D77 &amp; "'!$f$56")</f>
        <v>4</v>
      </c>
      <c r="H77" t="s">
        <v>315</v>
      </c>
      <c r="I77">
        <f ca="1">HARMEAN(E60:E80)</f>
        <v>5.4276923076923067</v>
      </c>
      <c r="N77" t="s">
        <v>315</v>
      </c>
      <c r="O77">
        <f ca="1">HARMEAN(F60:F80)</f>
        <v>4.2424242424242422</v>
      </c>
      <c r="R77" s="87"/>
      <c r="AD77" t="s">
        <v>374</v>
      </c>
      <c r="AE77" s="74">
        <f ca="1">[1]!SRDIST(AE69,AE66,1)</f>
        <v>6.103515625E-5</v>
      </c>
      <c r="AF77" s="77">
        <f ca="1">2*AE77</f>
        <v>1.220703125E-4</v>
      </c>
    </row>
    <row r="78" spans="4:32" x14ac:dyDescent="0.3">
      <c r="D78" s="2" t="s">
        <v>398</v>
      </c>
      <c r="E78" s="37" cm="1">
        <f t="array" aca="1" ref="E78" ca="1">INDIRECT("'" &amp; D78 &amp; "'!$e$56")</f>
        <v>5</v>
      </c>
      <c r="F78" s="37" cm="1">
        <f t="array" aca="1" ref="F78" ca="1">INDIRECT("'" &amp; D78 &amp; "'!$f$56")</f>
        <v>3</v>
      </c>
      <c r="H78" t="s">
        <v>316</v>
      </c>
      <c r="I78">
        <f ca="1">AVEDEV(E60:E80)</f>
        <v>0.72108843537414968</v>
      </c>
      <c r="N78" t="s">
        <v>316</v>
      </c>
      <c r="O78">
        <f ca="1">AVEDEV(F60:F80)</f>
        <v>0.87981859410430829</v>
      </c>
      <c r="AD78" t="s">
        <v>375</v>
      </c>
      <c r="AE78" s="75" t="s">
        <v>376</v>
      </c>
      <c r="AF78" s="78" t="s">
        <v>376</v>
      </c>
    </row>
    <row r="79" spans="4:32" x14ac:dyDescent="0.3">
      <c r="D79" s="2" t="s">
        <v>399</v>
      </c>
      <c r="E79" s="37" cm="1">
        <f t="array" aca="1" ref="E79" ca="1">INDIRECT("'" &amp; D79 &amp; "'!$e$56")</f>
        <v>6</v>
      </c>
      <c r="F79" s="37" cm="1">
        <f t="array" aca="1" ref="F79" ca="1">INDIRECT("'" &amp; D79 &amp; "'!$f$56")</f>
        <v>6</v>
      </c>
      <c r="H79" t="s">
        <v>317</v>
      </c>
      <c r="I79">
        <f ca="1">[1]!MAD(E60:E80)</f>
        <v>0</v>
      </c>
      <c r="N79" t="s">
        <v>317</v>
      </c>
      <c r="O79">
        <f ca="1">[1]!MAD(F60:F80)</f>
        <v>1</v>
      </c>
    </row>
    <row r="80" spans="4:32" x14ac:dyDescent="0.3">
      <c r="D80" s="2" t="s">
        <v>400</v>
      </c>
      <c r="E80" s="37" cm="1">
        <f t="array" aca="1" ref="E80" ca="1">INDIRECT("'" &amp; D80 &amp; "'!$e$56")</f>
        <v>5</v>
      </c>
      <c r="F80" s="37" cm="1">
        <f t="array" aca="1" ref="F80" ca="1">INDIRECT("'" &amp; D80 &amp; "'!$f$56")</f>
        <v>4</v>
      </c>
      <c r="H80" s="63" t="s">
        <v>318</v>
      </c>
      <c r="I80" s="63">
        <f ca="1">[1]!IQR(E60:E80,FALSE)</f>
        <v>1</v>
      </c>
      <c r="N80" s="63" t="s">
        <v>318</v>
      </c>
      <c r="O80" s="63">
        <f ca="1">[1]!IQR(F60:F80,FALSE)</f>
        <v>1</v>
      </c>
    </row>
    <row r="84" spans="4:32" x14ac:dyDescent="0.3">
      <c r="D84" s="2"/>
      <c r="E84" s="105" t="s">
        <v>95</v>
      </c>
      <c r="F84" s="2"/>
    </row>
    <row r="85" spans="4:32" x14ac:dyDescent="0.3">
      <c r="D85" s="2"/>
      <c r="E85" s="2"/>
      <c r="F85" s="2"/>
    </row>
    <row r="86" spans="4:32" x14ac:dyDescent="0.3">
      <c r="D86" s="2" t="s">
        <v>285</v>
      </c>
      <c r="E86" s="37" cm="1">
        <f t="array" aca="1" ref="E86" ca="1">INDIRECT("'" &amp; D86 &amp; "'!$e$57")</f>
        <v>6</v>
      </c>
      <c r="F86" s="37" cm="1">
        <f t="array" aca="1" ref="F86" ca="1">INDIRECT("'" &amp; D86 &amp; "'!$f$57")</f>
        <v>5</v>
      </c>
      <c r="H86" t="s">
        <v>300</v>
      </c>
      <c r="K86" t="s">
        <v>331</v>
      </c>
      <c r="N86" t="s">
        <v>300</v>
      </c>
      <c r="Q86" t="s">
        <v>331</v>
      </c>
      <c r="R86" s="87"/>
      <c r="T86" t="s">
        <v>338</v>
      </c>
      <c r="AD86" t="s">
        <v>358</v>
      </c>
    </row>
    <row r="87" spans="4:32" x14ac:dyDescent="0.3">
      <c r="D87" s="2" t="s">
        <v>286</v>
      </c>
      <c r="E87" s="37" cm="1">
        <f t="array" aca="1" ref="E87" ca="1">INDIRECT("'" &amp; D87 &amp; "'!$e$57")</f>
        <v>6</v>
      </c>
      <c r="F87" s="37" cm="1">
        <f t="array" aca="1" ref="F87" ca="1">INDIRECT("'" &amp; D87 &amp; "'!$f$57")</f>
        <v>5</v>
      </c>
    </row>
    <row r="88" spans="4:32" ht="15" thickBot="1" x14ac:dyDescent="0.35">
      <c r="D88" s="2" t="s">
        <v>287</v>
      </c>
      <c r="E88" s="37" cm="1">
        <f t="array" aca="1" ref="E88" ca="1">INDIRECT("'" &amp; D88 &amp; "'!$e$57")</f>
        <v>6</v>
      </c>
      <c r="F88" s="37" cm="1">
        <f t="array" aca="1" ref="F88" ca="1">INDIRECT("'" &amp; D88 &amp; "'!$f$57")</f>
        <v>6</v>
      </c>
      <c r="H88" s="64"/>
      <c r="I88" s="64" t="s">
        <v>379</v>
      </c>
      <c r="K88" s="64"/>
      <c r="L88" s="64" t="s">
        <v>379</v>
      </c>
      <c r="N88" s="64"/>
      <c r="O88" s="86" t="s">
        <v>379</v>
      </c>
      <c r="Q88" s="92"/>
      <c r="R88" s="91" t="s">
        <v>379</v>
      </c>
      <c r="T88" s="79" t="s">
        <v>339</v>
      </c>
      <c r="U88" s="96"/>
      <c r="W88" t="s">
        <v>340</v>
      </c>
      <c r="X88">
        <v>0.05</v>
      </c>
      <c r="Z88" t="s">
        <v>341</v>
      </c>
      <c r="AA88">
        <v>0</v>
      </c>
      <c r="AE88" t="s">
        <v>381</v>
      </c>
      <c r="AF88" t="s">
        <v>382</v>
      </c>
    </row>
    <row r="89" spans="4:32" ht="15" thickTop="1" x14ac:dyDescent="0.3">
      <c r="D89" s="2" t="s">
        <v>288</v>
      </c>
      <c r="E89" s="37" cm="1">
        <f t="array" aca="1" ref="E89" ca="1">INDIRECT("'" &amp; D89 &amp; "'!$e$57")</f>
        <v>7</v>
      </c>
      <c r="F89" s="37" cm="1">
        <f t="array" aca="1" ref="F89" ca="1">INDIRECT("'" &amp; D89 &amp; "'!$f$57")</f>
        <v>5</v>
      </c>
      <c r="H89" t="s">
        <v>301</v>
      </c>
      <c r="I89" s="65">
        <f ca="1">AVERAGE(E86:E106)</f>
        <v>5.9047619047619051</v>
      </c>
      <c r="K89" t="s">
        <v>332</v>
      </c>
      <c r="L89">
        <f ca="1">[1]!SHAPIRO(E86:E106)</f>
        <v>0.80132940268130226</v>
      </c>
      <c r="N89" t="s">
        <v>301</v>
      </c>
      <c r="O89" s="65">
        <f ca="1">AVERAGE(F86:F106)</f>
        <v>4.9047619047619051</v>
      </c>
      <c r="Q89" t="s">
        <v>332</v>
      </c>
      <c r="R89" s="74">
        <f ca="1">[1]!SHAPIRO(F86:F106)</f>
        <v>0.91066542970849962</v>
      </c>
      <c r="T89" s="97" t="s">
        <v>342</v>
      </c>
      <c r="U89" s="97" t="s">
        <v>313</v>
      </c>
      <c r="V89" s="97" t="s">
        <v>301</v>
      </c>
      <c r="W89" s="97" t="s">
        <v>343</v>
      </c>
      <c r="X89" s="97" t="s">
        <v>344</v>
      </c>
      <c r="Y89" s="97" t="s">
        <v>345</v>
      </c>
      <c r="Z89" s="97" t="s">
        <v>346</v>
      </c>
      <c r="AA89" s="97" t="s">
        <v>347</v>
      </c>
      <c r="AB89" s="97" t="s">
        <v>348</v>
      </c>
      <c r="AD89" t="s">
        <v>359</v>
      </c>
      <c r="AE89" s="102">
        <f ca="1">MEDIAN(E86:E106)</f>
        <v>6</v>
      </c>
      <c r="AF89" s="103">
        <f ca="1">MEDIAN(F86:F106)</f>
        <v>5</v>
      </c>
    </row>
    <row r="90" spans="4:32" x14ac:dyDescent="0.3">
      <c r="D90" s="2" t="s">
        <v>289</v>
      </c>
      <c r="E90" s="37" cm="1">
        <f t="array" aca="1" ref="E90" ca="1">INDIRECT("'" &amp; D90 &amp; "'!$e$57")</f>
        <v>7</v>
      </c>
      <c r="F90" s="37" cm="1">
        <f t="array" aca="1" ref="F90" ca="1">INDIRECT("'" &amp; D90 &amp; "'!$f$57")</f>
        <v>7</v>
      </c>
      <c r="H90" t="s">
        <v>302</v>
      </c>
      <c r="I90">
        <f ca="1">_xlfn.STDEV.S(E86:E106)/SQRT(COUNT(E86:E106))</f>
        <v>0.26641144248951193</v>
      </c>
      <c r="K90" t="s">
        <v>333</v>
      </c>
      <c r="L90">
        <f ca="1">[1]!SWTEST(E86:E106)</f>
        <v>6.8753558774836687E-4</v>
      </c>
      <c r="N90" t="s">
        <v>302</v>
      </c>
      <c r="O90">
        <f ca="1">_xlfn.STDEV.S(F86:F106)/SQRT(COUNT(F86:F106))</f>
        <v>0.27520349098666447</v>
      </c>
      <c r="Q90" t="s">
        <v>333</v>
      </c>
      <c r="R90" s="74">
        <f ca="1">[1]!SWTEST(F86:F106)</f>
        <v>5.6597124659090725E-2</v>
      </c>
      <c r="T90" t="s">
        <v>379</v>
      </c>
      <c r="U90">
        <f ca="1">COUNT(E86:E106)</f>
        <v>21</v>
      </c>
      <c r="V90" s="65">
        <f ca="1">AVERAGE(E86:E106)</f>
        <v>5.9047619047619051</v>
      </c>
      <c r="W90">
        <f ca="1">_xlfn.STDEV.S(E86:E106)</f>
        <v>1.2208506012105629</v>
      </c>
    </row>
    <row r="91" spans="4:32" x14ac:dyDescent="0.3">
      <c r="D91" s="2" t="s">
        <v>290</v>
      </c>
      <c r="E91" s="37" cm="1">
        <f t="array" aca="1" ref="E91" ca="1">INDIRECT("'" &amp; D91 &amp; "'!$e$57")</f>
        <v>7</v>
      </c>
      <c r="F91" s="37" cm="1">
        <f t="array" aca="1" ref="F91" ca="1">INDIRECT("'" &amp; D91 &amp; "'!$f$57")</f>
        <v>6</v>
      </c>
      <c r="H91" t="s">
        <v>303</v>
      </c>
      <c r="I91" s="65">
        <f ca="1">MEDIAN(E86:E106)</f>
        <v>6</v>
      </c>
      <c r="K91" t="s">
        <v>334</v>
      </c>
      <c r="L91">
        <v>0.05</v>
      </c>
      <c r="N91" t="s">
        <v>303</v>
      </c>
      <c r="O91" s="65">
        <f ca="1">MEDIAN(F86:F106)</f>
        <v>5</v>
      </c>
      <c r="Q91" t="s">
        <v>334</v>
      </c>
      <c r="R91" s="74">
        <v>0.05</v>
      </c>
      <c r="T91" t="s">
        <v>380</v>
      </c>
      <c r="U91">
        <f ca="1">COUNT(F86:F106)</f>
        <v>21</v>
      </c>
      <c r="V91" s="65">
        <f ca="1">AVERAGE(F86:F106)</f>
        <v>4.9047619047619051</v>
      </c>
      <c r="W91">
        <f ca="1">_xlfn.STDEV.S(F86:F106)</f>
        <v>1.2611408289624872</v>
      </c>
      <c r="AD91" t="s">
        <v>360</v>
      </c>
      <c r="AE91" s="88">
        <f ca="1">SUMPRODUCT(--ISNUMBER(E86:E106),--ISNUMBER(F86:F106))</f>
        <v>21</v>
      </c>
    </row>
    <row r="92" spans="4:32" x14ac:dyDescent="0.3">
      <c r="D92" s="2" t="s">
        <v>291</v>
      </c>
      <c r="E92" s="37" cm="1">
        <f t="array" aca="1" ref="E92" ca="1">INDIRECT("'" &amp; D92 &amp; "'!$e$57")</f>
        <v>6</v>
      </c>
      <c r="F92" s="37" cm="1">
        <f t="array" aca="1" ref="F92" ca="1">INDIRECT("'" &amp; D92 &amp; "'!$f$57")</f>
        <v>5</v>
      </c>
      <c r="H92" t="s">
        <v>304</v>
      </c>
      <c r="I92">
        <f ca="1">MODE(E86:E106)</f>
        <v>7</v>
      </c>
      <c r="K92" s="63" t="s">
        <v>335</v>
      </c>
      <c r="L92" s="66" t="str">
        <f ca="1">IF(L90&lt;L91,"no","yes")</f>
        <v>no</v>
      </c>
      <c r="N92" t="s">
        <v>304</v>
      </c>
      <c r="O92">
        <f ca="1">MODE(F86:F106)</f>
        <v>5</v>
      </c>
      <c r="Q92" s="63" t="s">
        <v>335</v>
      </c>
      <c r="R92" s="93" t="str">
        <f ca="1">IF(R90&lt;R91,"no","yes")</f>
        <v>yes</v>
      </c>
      <c r="T92" s="98" t="s">
        <v>349</v>
      </c>
      <c r="U92" s="99">
        <f ca="1">U91</f>
        <v>21</v>
      </c>
      <c r="V92" s="100">
        <f ca="1">V90-V91</f>
        <v>1</v>
      </c>
      <c r="W92" s="85">
        <f t="array" aca="1" ref="W92" ca="1">_xlfn.STDEV.S(E86:E106-F86:F106)</f>
        <v>1.0488088481701516</v>
      </c>
      <c r="X92" s="85">
        <f ca="1">W92/SQRT(U92)</f>
        <v>0.22886885410853175</v>
      </c>
      <c r="Y92" s="85">
        <f ca="1">(V90-V91-AA88)/X92</f>
        <v>4.3693144875265144</v>
      </c>
      <c r="Z92" s="85">
        <f ca="1">U92-1</f>
        <v>20</v>
      </c>
      <c r="AA92" s="85">
        <f ca="1">ABS(V90-V91-AA88)/W92</f>
        <v>0.95346258924559224</v>
      </c>
      <c r="AB92" s="85">
        <f ca="1">SQRT(Y92^2/(Y92^2+Z92))</f>
        <v>0.69883624192170779</v>
      </c>
      <c r="AD92" t="s">
        <v>361</v>
      </c>
      <c r="AE92" s="74">
        <f ca="1">SUMPRODUCT(--ISNUMBER(E86:E106),--ISNUMBER(F86:F106),--(E86:E106&lt;&gt;F86:F106))</f>
        <v>13</v>
      </c>
    </row>
    <row r="93" spans="4:32" x14ac:dyDescent="0.3">
      <c r="D93" s="2" t="s">
        <v>292</v>
      </c>
      <c r="E93" s="37" cm="1">
        <f t="array" aca="1" ref="E93" ca="1">INDIRECT("'" &amp; D93 &amp; "'!$e$57")</f>
        <v>5</v>
      </c>
      <c r="F93" s="37" cm="1">
        <f t="array" aca="1" ref="F93" ca="1">INDIRECT("'" &amp; D93 &amp; "'!$f$57")</f>
        <v>4</v>
      </c>
      <c r="H93" t="s">
        <v>305</v>
      </c>
      <c r="I93">
        <f ca="1">_xlfn.STDEV.S(E86:E106)</f>
        <v>1.2208506012105629</v>
      </c>
      <c r="N93" t="s">
        <v>305</v>
      </c>
      <c r="O93">
        <f ca="1">_xlfn.STDEV.S(F86:F106)</f>
        <v>1.2611408289624872</v>
      </c>
      <c r="R93" s="74"/>
      <c r="AD93" t="s">
        <v>362</v>
      </c>
      <c r="AE93" s="74">
        <f ca="1">IF(AE95&lt;=AE98,AE95,AE92*(AE92+1)/2)</f>
        <v>0</v>
      </c>
    </row>
    <row r="94" spans="4:32" ht="15" thickBot="1" x14ac:dyDescent="0.35">
      <c r="D94" s="2" t="s">
        <v>293</v>
      </c>
      <c r="E94" s="37" cm="1">
        <f t="array" aca="1" ref="E94" ca="1">INDIRECT("'" &amp; D94 &amp; "'!$e$57")</f>
        <v>7</v>
      </c>
      <c r="F94" s="37" cm="1">
        <f t="array" aca="1" ref="F94" ca="1">INDIRECT("'" &amp; D94 &amp; "'!$f$57")</f>
        <v>7</v>
      </c>
      <c r="H94" t="s">
        <v>306</v>
      </c>
      <c r="I94">
        <f ca="1">_xlfn.VAR.S(E86:E106)</f>
        <v>1.4904761904761927</v>
      </c>
      <c r="K94" t="s">
        <v>336</v>
      </c>
      <c r="N94" t="s">
        <v>306</v>
      </c>
      <c r="O94">
        <f ca="1">_xlfn.VAR.S(F86:F106)</f>
        <v>1.5904761904761897</v>
      </c>
      <c r="Q94" t="s">
        <v>336</v>
      </c>
      <c r="R94" s="90"/>
      <c r="T94" t="s">
        <v>350</v>
      </c>
      <c r="AD94" t="s">
        <v>363</v>
      </c>
      <c r="AE94" s="74">
        <f ca="1">AE92*(AE92+1)/2-AE93</f>
        <v>91</v>
      </c>
    </row>
    <row r="95" spans="4:32" ht="15" thickTop="1" x14ac:dyDescent="0.3">
      <c r="D95" s="2" t="s">
        <v>294</v>
      </c>
      <c r="E95" s="37" cm="1">
        <f t="array" aca="1" ref="E95" ca="1">INDIRECT("'" &amp; D95 &amp; "'!$e$57")</f>
        <v>5</v>
      </c>
      <c r="F95" s="37" cm="1">
        <f t="array" aca="1" ref="F95" ca="1">INDIRECT("'" &amp; D95 &amp; "'!$f$57")</f>
        <v>3</v>
      </c>
      <c r="H95" t="s">
        <v>307</v>
      </c>
      <c r="I95">
        <f ca="1">KURT(E86:E106)</f>
        <v>1.2519373743896387</v>
      </c>
      <c r="N95" t="s">
        <v>307</v>
      </c>
      <c r="O95">
        <f ca="1">KURT(F86:F106)</f>
        <v>-0.82788724473524011</v>
      </c>
      <c r="T95" s="101" t="s">
        <v>351</v>
      </c>
      <c r="U95" s="101" t="s">
        <v>333</v>
      </c>
      <c r="V95" s="101" t="s">
        <v>352</v>
      </c>
      <c r="W95" s="101" t="s">
        <v>353</v>
      </c>
      <c r="X95" s="101" t="s">
        <v>354</v>
      </c>
      <c r="Y95" s="101" t="s">
        <v>355</v>
      </c>
      <c r="AD95" t="s">
        <v>364</v>
      </c>
      <c r="AE95" s="75">
        <f ca="1">[1]!SRANK(E86:E106,F86:F106)</f>
        <v>0</v>
      </c>
    </row>
    <row r="96" spans="4:32" x14ac:dyDescent="0.3">
      <c r="D96" s="2" t="s">
        <v>295</v>
      </c>
      <c r="E96" s="37" cm="1">
        <f t="array" aca="1" ref="E96" ca="1">INDIRECT("'" &amp; D96 &amp; "'!$e$57")</f>
        <v>7</v>
      </c>
      <c r="F96" s="37" cm="1">
        <f t="array" aca="1" ref="F96" ca="1">INDIRECT("'" &amp; D96 &amp; "'!$f$57")</f>
        <v>6</v>
      </c>
      <c r="H96" t="s">
        <v>308</v>
      </c>
      <c r="I96">
        <f ca="1">SKEW(E86:E106)</f>
        <v>-1.2592972641949116</v>
      </c>
      <c r="K96" s="85" t="s">
        <v>337</v>
      </c>
      <c r="L96" s="85">
        <f ca="1">[1]!DAGOSTINO(E86:E106)</f>
        <v>7.4120592691606451</v>
      </c>
      <c r="N96" t="s">
        <v>308</v>
      </c>
      <c r="O96">
        <f ca="1">SKEW(F86:F106)</f>
        <v>-0.13482107661510215</v>
      </c>
      <c r="Q96" s="94" t="s">
        <v>337</v>
      </c>
      <c r="R96" s="95">
        <f ca="1">[1]!DAGOSTINO(F86:F106)</f>
        <v>0.99947677793376943</v>
      </c>
      <c r="T96" t="s">
        <v>356</v>
      </c>
      <c r="U96">
        <f ca="1">_xlfn.T.DIST.RT(ABS(Y92),Z92)</f>
        <v>1.4836294847172594E-4</v>
      </c>
      <c r="V96">
        <f ca="1">_xlfn.T.INV.2T(X88*2,Z92)</f>
        <v>1.7247182429207868</v>
      </c>
      <c r="Y96" s="70" t="str">
        <f ca="1">IF(U96&lt;X88,"yes","no")</f>
        <v>yes</v>
      </c>
    </row>
    <row r="97" spans="4:32" x14ac:dyDescent="0.3">
      <c r="D97" s="2" t="s">
        <v>296</v>
      </c>
      <c r="E97" s="37" cm="1">
        <f t="array" aca="1" ref="E97" ca="1">INDIRECT("'" &amp; D97 &amp; "'!$e$57")</f>
        <v>6</v>
      </c>
      <c r="F97" s="37" cm="1">
        <f t="array" aca="1" ref="F97" ca="1">INDIRECT("'" &amp; D97 &amp; "'!$f$57")</f>
        <v>6</v>
      </c>
      <c r="H97" t="s">
        <v>309</v>
      </c>
      <c r="I97" s="65">
        <f ca="1">I98-I99</f>
        <v>4</v>
      </c>
      <c r="K97" t="s">
        <v>333</v>
      </c>
      <c r="L97">
        <f ca="1">[1]!DPTEST(E86:E106)</f>
        <v>2.4574901168606722E-2</v>
      </c>
      <c r="N97" t="s">
        <v>309</v>
      </c>
      <c r="O97" s="65">
        <f ca="1">O98-O99</f>
        <v>4</v>
      </c>
      <c r="Q97" t="s">
        <v>333</v>
      </c>
      <c r="R97" s="74">
        <f ca="1">[1]!DPTEST(F86:F106)</f>
        <v>0.60668935558252701</v>
      </c>
      <c r="T97" t="s">
        <v>357</v>
      </c>
      <c r="U97">
        <f ca="1">_xlfn.T.DIST.2T(ABS(Y92),Z92)</f>
        <v>2.9672589694345187E-4</v>
      </c>
      <c r="V97">
        <f ca="1">_xlfn.T.INV.2T(X88,Z92)</f>
        <v>2.0859634472658648</v>
      </c>
      <c r="W97">
        <f ca="1">(V90-V91)-X92*V97</f>
        <v>0.52258793611197885</v>
      </c>
      <c r="X97">
        <f ca="1">(V90-V91)+X92*V97</f>
        <v>1.4774120638880213</v>
      </c>
      <c r="Y97" s="70" t="str">
        <f ca="1">IF(U97&lt;X88,"yes","no")</f>
        <v>yes</v>
      </c>
      <c r="AE97" s="70" t="s">
        <v>365</v>
      </c>
      <c r="AF97" s="70" t="s">
        <v>366</v>
      </c>
    </row>
    <row r="98" spans="4:32" x14ac:dyDescent="0.3">
      <c r="D98" s="2" t="s">
        <v>297</v>
      </c>
      <c r="E98" s="37" cm="1">
        <f t="array" aca="1" ref="E98" ca="1">INDIRECT("'" &amp; D98 &amp; "'!$e$57")</f>
        <v>3</v>
      </c>
      <c r="F98" s="37" cm="1">
        <f t="array" aca="1" ref="F98" ca="1">INDIRECT("'" &amp; D98 &amp; "'!$f$57")</f>
        <v>3</v>
      </c>
      <c r="H98" t="s">
        <v>310</v>
      </c>
      <c r="I98" s="65">
        <f ca="1">MAX(E86:E106)</f>
        <v>7</v>
      </c>
      <c r="K98" t="s">
        <v>334</v>
      </c>
      <c r="L98">
        <v>0.05</v>
      </c>
      <c r="N98" t="s">
        <v>310</v>
      </c>
      <c r="O98" s="65">
        <f ca="1">MAX(F86:F106)</f>
        <v>7</v>
      </c>
      <c r="Q98" t="s">
        <v>334</v>
      </c>
      <c r="R98" s="89">
        <v>0.05</v>
      </c>
      <c r="T98" s="85"/>
      <c r="U98" s="85"/>
      <c r="V98" s="85"/>
      <c r="W98" s="85"/>
      <c r="X98" s="85"/>
      <c r="Y98" s="85"/>
      <c r="AD98" t="s">
        <v>367</v>
      </c>
      <c r="AE98" s="88">
        <f ca="1">AE92*(AE92+1)/4</f>
        <v>45.5</v>
      </c>
    </row>
    <row r="99" spans="4:32" x14ac:dyDescent="0.3">
      <c r="D99" s="2" t="s">
        <v>298</v>
      </c>
      <c r="E99" s="37" cm="1">
        <f t="array" aca="1" ref="E99" ca="1">INDIRECT("'" &amp; D99 &amp; "'!$e$57")</f>
        <v>7</v>
      </c>
      <c r="F99" s="37" cm="1">
        <f t="array" aca="1" ref="F99" ca="1">INDIRECT("'" &amp; D99 &amp; "'!$f$57")</f>
        <v>5</v>
      </c>
      <c r="H99" t="s">
        <v>311</v>
      </c>
      <c r="I99" s="65">
        <f ca="1">MIN(E86:E106)</f>
        <v>3</v>
      </c>
      <c r="K99" s="63" t="s">
        <v>335</v>
      </c>
      <c r="L99" s="66" t="str">
        <f ca="1">IF(L97&lt;L98,"no","yes")</f>
        <v>no</v>
      </c>
      <c r="N99" t="s">
        <v>311</v>
      </c>
      <c r="O99" s="65">
        <f ca="1">MIN(F86:F106)</f>
        <v>3</v>
      </c>
      <c r="Q99" s="63" t="s">
        <v>335</v>
      </c>
      <c r="R99" s="93" t="str">
        <f ca="1">IF(R97&lt;R98,"no","yes")</f>
        <v>yes</v>
      </c>
      <c r="T99" s="63"/>
      <c r="U99" s="66"/>
      <c r="AD99" t="s">
        <v>368</v>
      </c>
      <c r="AE99" s="74">
        <f ca="1">SQRT(AE98*(2*AE92+1)/6-[1]!TiesCorrection(E86:E106,F86:F106,1)/48)</f>
        <v>13.973188612482121</v>
      </c>
      <c r="AF99" t="s">
        <v>369</v>
      </c>
    </row>
    <row r="100" spans="4:32" x14ac:dyDescent="0.3">
      <c r="D100" s="2" t="s">
        <v>299</v>
      </c>
      <c r="E100" s="37" cm="1">
        <f t="array" aca="1" ref="E100" ca="1">INDIRECT("'" &amp; D100 &amp; "'!$e$57")</f>
        <v>7</v>
      </c>
      <c r="F100" s="37" cm="1">
        <f t="array" aca="1" ref="F100" ca="1">INDIRECT("'" &amp; D100 &amp; "'!$f$57")</f>
        <v>3</v>
      </c>
      <c r="H100" t="s">
        <v>312</v>
      </c>
      <c r="I100" s="65">
        <f ca="1">SUM(E86:E106)</f>
        <v>124</v>
      </c>
      <c r="N100" t="s">
        <v>312</v>
      </c>
      <c r="O100" s="65">
        <f ca="1">SUM(F86:F106)</f>
        <v>103</v>
      </c>
      <c r="R100" s="74"/>
      <c r="AD100" t="s">
        <v>370</v>
      </c>
      <c r="AE100" s="74">
        <f ca="1">ABS(ABS(AE95-AE98)-1/2)/AE99</f>
        <v>3.2204532013403093</v>
      </c>
      <c r="AF100" t="s">
        <v>371</v>
      </c>
    </row>
    <row r="101" spans="4:32" x14ac:dyDescent="0.3">
      <c r="D101" s="2" t="s">
        <v>395</v>
      </c>
      <c r="E101" s="37" cm="1">
        <f t="array" aca="1" ref="E101" ca="1">INDIRECT("'" &amp; D101 &amp; "'!$e$57")</f>
        <v>5</v>
      </c>
      <c r="F101" s="37" cm="1">
        <f t="array" aca="1" ref="F101" ca="1">INDIRECT("'" &amp; D101 &amp; "'!$f$57")</f>
        <v>4</v>
      </c>
      <c r="H101" t="s">
        <v>313</v>
      </c>
      <c r="I101">
        <f ca="1">COUNT(E86:E106)</f>
        <v>21</v>
      </c>
      <c r="N101" t="s">
        <v>313</v>
      </c>
      <c r="O101">
        <f ca="1">COUNT(F86:F106)</f>
        <v>21</v>
      </c>
      <c r="R101" s="90"/>
      <c r="AD101" t="s">
        <v>372</v>
      </c>
      <c r="AE101" s="74">
        <f ca="1">AE100/SQRT(AE92)</f>
        <v>0.89319301135881846</v>
      </c>
    </row>
    <row r="102" spans="4:32" x14ac:dyDescent="0.3">
      <c r="D102" s="2" t="s">
        <v>396</v>
      </c>
      <c r="E102" s="37" cm="1">
        <f t="array" aca="1" ref="E102" ca="1">INDIRECT("'" &amp; D102 &amp; "'!$e$57")</f>
        <v>6</v>
      </c>
      <c r="F102" s="37" cm="1">
        <f t="array" aca="1" ref="F102" ca="1">INDIRECT("'" &amp; D102 &amp; "'!$f$57")</f>
        <v>6</v>
      </c>
      <c r="H102" t="s">
        <v>314</v>
      </c>
      <c r="I102">
        <f ca="1">GEOMEAN(E86:E106)</f>
        <v>5.7531159072988967</v>
      </c>
      <c r="N102" t="s">
        <v>314</v>
      </c>
      <c r="O102">
        <f ca="1">GEOMEAN(F86:F106)</f>
        <v>4.7384733834309145</v>
      </c>
      <c r="AD102" t="s">
        <v>373</v>
      </c>
      <c r="AE102" s="88">
        <f ca="1">1-_xlfn.NORM.S.DIST(AE100,TRUE)</f>
        <v>6.3994043725235095E-4</v>
      </c>
      <c r="AF102" s="104">
        <f ca="1">2*AE102</f>
        <v>1.2798808745047019E-3</v>
      </c>
    </row>
    <row r="103" spans="4:32" x14ac:dyDescent="0.3">
      <c r="D103" s="2" t="s">
        <v>397</v>
      </c>
      <c r="E103" s="37" cm="1">
        <f t="array" aca="1" ref="E103" ca="1">INDIRECT("'" &amp; D103 &amp; "'!$e$57")</f>
        <v>3</v>
      </c>
      <c r="F103" s="37" cm="1">
        <f t="array" aca="1" ref="F103" ca="1">INDIRECT("'" &amp; D103 &amp; "'!$f$57")</f>
        <v>3</v>
      </c>
      <c r="H103" t="s">
        <v>315</v>
      </c>
      <c r="I103">
        <f ca="1">HARMEAN(E86:E106)</f>
        <v>5.5611601513240858</v>
      </c>
      <c r="N103" t="s">
        <v>315</v>
      </c>
      <c r="O103">
        <f ca="1">HARMEAN(F86:F106)</f>
        <v>4.5628556647697875</v>
      </c>
      <c r="R103" s="87"/>
      <c r="AD103" t="s">
        <v>374</v>
      </c>
      <c r="AE103" s="74">
        <f ca="1">[1]!SRDIST(AE95,AE92,1)</f>
        <v>1.220703125E-4</v>
      </c>
      <c r="AF103" s="77">
        <f ca="1">2*AE103</f>
        <v>2.44140625E-4</v>
      </c>
    </row>
    <row r="104" spans="4:32" x14ac:dyDescent="0.3">
      <c r="D104" s="2" t="s">
        <v>398</v>
      </c>
      <c r="E104" s="37" cm="1">
        <f t="array" aca="1" ref="E104" ca="1">INDIRECT("'" &amp; D104 &amp; "'!$e$57")</f>
        <v>6</v>
      </c>
      <c r="F104" s="37" cm="1">
        <f t="array" aca="1" ref="F104" ca="1">INDIRECT("'" &amp; D104 &amp; "'!$f$57")</f>
        <v>4</v>
      </c>
      <c r="H104" t="s">
        <v>316</v>
      </c>
      <c r="I104">
        <f ca="1">AVEDEV(E86:E106)</f>
        <v>0.89795918367346927</v>
      </c>
      <c r="N104" t="s">
        <v>316</v>
      </c>
      <c r="O104">
        <f ca="1">AVEDEV(F86:F106)</f>
        <v>0.98412698412698396</v>
      </c>
      <c r="AD104" t="s">
        <v>375</v>
      </c>
      <c r="AE104" s="75" t="s">
        <v>376</v>
      </c>
      <c r="AF104" s="78" t="s">
        <v>376</v>
      </c>
    </row>
    <row r="105" spans="4:32" x14ac:dyDescent="0.3">
      <c r="D105" s="2" t="s">
        <v>399</v>
      </c>
      <c r="E105" s="37" cm="1">
        <f t="array" aca="1" ref="E105" ca="1">INDIRECT("'" &amp; D105 &amp; "'!$e$57")</f>
        <v>7</v>
      </c>
      <c r="F105" s="37" cm="1">
        <f t="array" aca="1" ref="F105" ca="1">INDIRECT("'" &amp; D105 &amp; "'!$f$57")</f>
        <v>5</v>
      </c>
      <c r="H105" t="s">
        <v>317</v>
      </c>
      <c r="I105">
        <f ca="1">[1]!MAD(E86:E106)</f>
        <v>1</v>
      </c>
      <c r="N105" t="s">
        <v>317</v>
      </c>
      <c r="O105">
        <f ca="1">[1]!MAD(F86:F106)</f>
        <v>1</v>
      </c>
    </row>
    <row r="106" spans="4:32" x14ac:dyDescent="0.3">
      <c r="D106" s="2" t="s">
        <v>400</v>
      </c>
      <c r="E106" s="37" cm="1">
        <f t="array" aca="1" ref="E106" ca="1">INDIRECT("'" &amp; D106 &amp; "'!$e$57")</f>
        <v>5</v>
      </c>
      <c r="F106" s="37" cm="1">
        <f t="array" aca="1" ref="F106" ca="1">INDIRECT("'" &amp; D106 &amp; "'!$f$57")</f>
        <v>5</v>
      </c>
      <c r="H106" s="63" t="s">
        <v>318</v>
      </c>
      <c r="I106" s="63">
        <f ca="1">[1]!IQR(E86:E106,FALSE)</f>
        <v>2</v>
      </c>
      <c r="N106" s="63" t="s">
        <v>318</v>
      </c>
      <c r="O106" s="63">
        <f ca="1">[1]!IQR(F86:F106,FALSE)</f>
        <v>2</v>
      </c>
    </row>
    <row r="110" spans="4:32" x14ac:dyDescent="0.3">
      <c r="D110" s="2"/>
      <c r="E110" s="59" t="s">
        <v>97</v>
      </c>
      <c r="F110" s="2"/>
    </row>
    <row r="111" spans="4:32" x14ac:dyDescent="0.3">
      <c r="D111" s="2"/>
      <c r="E111" s="2"/>
      <c r="F111" s="2"/>
    </row>
    <row r="112" spans="4:32" x14ac:dyDescent="0.3">
      <c r="D112" s="2" t="s">
        <v>285</v>
      </c>
      <c r="E112" s="37" cm="1">
        <f t="array" aca="1" ref="E112" ca="1">INDIRECT("'" &amp; D112 &amp; "'!$e$58")</f>
        <v>2</v>
      </c>
      <c r="F112" s="37" cm="1">
        <f t="array" aca="1" ref="F112" ca="1">INDIRECT("'" &amp; D112 &amp; "'!$f$58")</f>
        <v>4</v>
      </c>
      <c r="H112" t="s">
        <v>300</v>
      </c>
      <c r="K112" t="s">
        <v>331</v>
      </c>
      <c r="N112" t="s">
        <v>300</v>
      </c>
      <c r="Q112" t="s">
        <v>331</v>
      </c>
      <c r="R112" s="87"/>
      <c r="T112" t="s">
        <v>338</v>
      </c>
      <c r="AD112" t="s">
        <v>358</v>
      </c>
    </row>
    <row r="113" spans="4:32" x14ac:dyDescent="0.3">
      <c r="D113" s="2" t="s">
        <v>286</v>
      </c>
      <c r="E113" s="37" cm="1">
        <f t="array" aca="1" ref="E113" ca="1">INDIRECT("'" &amp; D113 &amp; "'!$e$58")</f>
        <v>3</v>
      </c>
      <c r="F113" s="37" cm="1">
        <f t="array" aca="1" ref="F113" ca="1">INDIRECT("'" &amp; D113 &amp; "'!$f$58")</f>
        <v>3</v>
      </c>
    </row>
    <row r="114" spans="4:32" ht="15" thickBot="1" x14ac:dyDescent="0.35">
      <c r="D114" s="2" t="s">
        <v>287</v>
      </c>
      <c r="E114" s="37" cm="1">
        <f t="array" aca="1" ref="E114" ca="1">INDIRECT("'" &amp; D114 &amp; "'!$e$58")</f>
        <v>1</v>
      </c>
      <c r="F114" s="37" cm="1">
        <f t="array" aca="1" ref="F114" ca="1">INDIRECT("'" &amp; D114 &amp; "'!$f$58")</f>
        <v>4</v>
      </c>
      <c r="H114" s="64"/>
      <c r="I114" s="64" t="s">
        <v>379</v>
      </c>
      <c r="K114" s="64"/>
      <c r="L114" s="64" t="s">
        <v>379</v>
      </c>
      <c r="N114" s="64"/>
      <c r="O114" s="86" t="s">
        <v>379</v>
      </c>
      <c r="Q114" s="92"/>
      <c r="R114" s="91" t="s">
        <v>379</v>
      </c>
      <c r="T114" s="79" t="s">
        <v>339</v>
      </c>
      <c r="U114" s="96"/>
      <c r="W114" t="s">
        <v>340</v>
      </c>
      <c r="X114">
        <v>0.05</v>
      </c>
      <c r="Z114" t="s">
        <v>341</v>
      </c>
      <c r="AA114">
        <v>0</v>
      </c>
      <c r="AE114" t="s">
        <v>381</v>
      </c>
      <c r="AF114" t="s">
        <v>382</v>
      </c>
    </row>
    <row r="115" spans="4:32" ht="15" thickTop="1" x14ac:dyDescent="0.3">
      <c r="D115" s="2" t="s">
        <v>288</v>
      </c>
      <c r="E115" s="37" cm="1">
        <f t="array" aca="1" ref="E115" ca="1">INDIRECT("'" &amp; D115 &amp; "'!$e$58")</f>
        <v>5</v>
      </c>
      <c r="F115" s="37" cm="1">
        <f t="array" aca="1" ref="F115" ca="1">INDIRECT("'" &amp; D115 &amp; "'!$f$58")</f>
        <v>7</v>
      </c>
      <c r="H115" t="s">
        <v>301</v>
      </c>
      <c r="I115" s="65">
        <f ca="1">AVERAGE(E112:E132)</f>
        <v>3.2857142857142856</v>
      </c>
      <c r="K115" t="s">
        <v>332</v>
      </c>
      <c r="L115">
        <f ca="1">[1]!SHAPIRO(E112:E132)</f>
        <v>0.90326968977771938</v>
      </c>
      <c r="N115" t="s">
        <v>301</v>
      </c>
      <c r="O115" s="65">
        <f ca="1">AVERAGE(F112:F132)</f>
        <v>4.3809523809523814</v>
      </c>
      <c r="Q115" t="s">
        <v>332</v>
      </c>
      <c r="R115" s="74">
        <f ca="1">[1]!SHAPIRO(F112:F132)</f>
        <v>0.9484653539901724</v>
      </c>
      <c r="T115" s="97" t="s">
        <v>342</v>
      </c>
      <c r="U115" s="97" t="s">
        <v>313</v>
      </c>
      <c r="V115" s="97" t="s">
        <v>301</v>
      </c>
      <c r="W115" s="97" t="s">
        <v>343</v>
      </c>
      <c r="X115" s="97" t="s">
        <v>344</v>
      </c>
      <c r="Y115" s="97" t="s">
        <v>345</v>
      </c>
      <c r="Z115" s="97" t="s">
        <v>346</v>
      </c>
      <c r="AA115" s="97" t="s">
        <v>347</v>
      </c>
      <c r="AB115" s="97" t="s">
        <v>348</v>
      </c>
      <c r="AD115" t="s">
        <v>359</v>
      </c>
      <c r="AE115" s="102">
        <f ca="1">MEDIAN(E112:E132)</f>
        <v>3</v>
      </c>
      <c r="AF115" s="103">
        <f ca="1">MEDIAN(F112:F132)</f>
        <v>4</v>
      </c>
    </row>
    <row r="116" spans="4:32" x14ac:dyDescent="0.3">
      <c r="D116" s="2" t="s">
        <v>289</v>
      </c>
      <c r="E116" s="37" cm="1">
        <f t="array" aca="1" ref="E116" ca="1">INDIRECT("'" &amp; D116 &amp; "'!$e$58")</f>
        <v>3</v>
      </c>
      <c r="F116" s="37" cm="1">
        <f t="array" aca="1" ref="F116" ca="1">INDIRECT("'" &amp; D116 &amp; "'!$f$58")</f>
        <v>4</v>
      </c>
      <c r="H116" t="s">
        <v>302</v>
      </c>
      <c r="I116">
        <f ca="1">_xlfn.STDEV.S(E112:E132)/SQRT(COUNT(E112:E132))</f>
        <v>0.33906634512224565</v>
      </c>
      <c r="K116" t="s">
        <v>333</v>
      </c>
      <c r="L116">
        <f ca="1">[1]!SWTEST(E112:E132)</f>
        <v>4.0510068572484736E-2</v>
      </c>
      <c r="N116" t="s">
        <v>302</v>
      </c>
      <c r="O116">
        <f ca="1">_xlfn.STDEV.S(F112:F132)/SQRT(COUNT(F112:F132))</f>
        <v>0.35507336918680477</v>
      </c>
      <c r="Q116" t="s">
        <v>333</v>
      </c>
      <c r="R116" s="74">
        <f ca="1">[1]!SWTEST(F112:F132)</f>
        <v>0.31853109234539967</v>
      </c>
      <c r="T116" t="s">
        <v>379</v>
      </c>
      <c r="U116">
        <f ca="1">COUNT(E112:E132)</f>
        <v>21</v>
      </c>
      <c r="V116" s="65">
        <f ca="1">AVERAGE(E112:E132)</f>
        <v>3.2857142857142856</v>
      </c>
      <c r="W116">
        <f ca="1">_xlfn.STDEV.S(E112:E132)</f>
        <v>1.5537971921347116</v>
      </c>
    </row>
    <row r="117" spans="4:32" x14ac:dyDescent="0.3">
      <c r="D117" s="2" t="s">
        <v>290</v>
      </c>
      <c r="E117" s="37" cm="1">
        <f t="array" aca="1" ref="E117" ca="1">INDIRECT("'" &amp; D117 &amp; "'!$e$58")</f>
        <v>3</v>
      </c>
      <c r="F117" s="37" cm="1">
        <f t="array" aca="1" ref="F117" ca="1">INDIRECT("'" &amp; D117 &amp; "'!$f$58")</f>
        <v>4</v>
      </c>
      <c r="H117" t="s">
        <v>303</v>
      </c>
      <c r="I117" s="65">
        <f ca="1">MEDIAN(E112:E132)</f>
        <v>3</v>
      </c>
      <c r="K117" t="s">
        <v>334</v>
      </c>
      <c r="L117">
        <v>0.05</v>
      </c>
      <c r="N117" t="s">
        <v>303</v>
      </c>
      <c r="O117" s="65">
        <f ca="1">MEDIAN(F112:F132)</f>
        <v>4</v>
      </c>
      <c r="Q117" t="s">
        <v>334</v>
      </c>
      <c r="R117" s="74">
        <v>0.05</v>
      </c>
      <c r="T117" t="s">
        <v>380</v>
      </c>
      <c r="U117">
        <f ca="1">COUNT(F112:F132)</f>
        <v>21</v>
      </c>
      <c r="V117" s="65">
        <f ca="1">AVERAGE(F112:F132)</f>
        <v>4.3809523809523814</v>
      </c>
      <c r="W117">
        <f ca="1">_xlfn.STDEV.S(F112:F132)</f>
        <v>1.6271505915615334</v>
      </c>
      <c r="AD117" t="s">
        <v>360</v>
      </c>
      <c r="AE117" s="88">
        <f ca="1">SUMPRODUCT(--ISNUMBER(E112:E132),--ISNUMBER(F112:F132))</f>
        <v>21</v>
      </c>
    </row>
    <row r="118" spans="4:32" x14ac:dyDescent="0.3">
      <c r="D118" s="2" t="s">
        <v>291</v>
      </c>
      <c r="E118" s="37" cm="1">
        <f t="array" aca="1" ref="E118" ca="1">INDIRECT("'" &amp; D118 &amp; "'!$e$58")</f>
        <v>1</v>
      </c>
      <c r="F118" s="37" cm="1">
        <f t="array" aca="1" ref="F118" ca="1">INDIRECT("'" &amp; D118 &amp; "'!$f$58")</f>
        <v>2</v>
      </c>
      <c r="H118" t="s">
        <v>304</v>
      </c>
      <c r="I118">
        <f ca="1">MODE(E112:E132)</f>
        <v>3</v>
      </c>
      <c r="K118" s="63" t="s">
        <v>335</v>
      </c>
      <c r="L118" s="66" t="str">
        <f ca="1">IF(L116&lt;L117,"no","yes")</f>
        <v>no</v>
      </c>
      <c r="N118" t="s">
        <v>304</v>
      </c>
      <c r="O118">
        <f ca="1">MODE(F112:F132)</f>
        <v>4</v>
      </c>
      <c r="Q118" s="63" t="s">
        <v>335</v>
      </c>
      <c r="R118" s="93" t="str">
        <f ca="1">IF(R116&lt;R117,"no","yes")</f>
        <v>yes</v>
      </c>
      <c r="T118" s="98" t="s">
        <v>349</v>
      </c>
      <c r="U118" s="99">
        <f ca="1">U117</f>
        <v>21</v>
      </c>
      <c r="V118" s="100">
        <f ca="1">V116-V117</f>
        <v>-1.0952380952380958</v>
      </c>
      <c r="W118" s="85">
        <f t="array" aca="1" ref="W118" ca="1">_xlfn.STDEV.S(E112:E132-F112:F132)</f>
        <v>1.5781242633190171</v>
      </c>
      <c r="X118" s="85">
        <f ca="1">W118/SQRT(U118)</f>
        <v>0.34437494727170564</v>
      </c>
      <c r="Y118" s="85">
        <f ca="1">(V116-V117-AA114)/X118</f>
        <v>-3.1803651918209157</v>
      </c>
      <c r="Z118" s="85">
        <f ca="1">U118-1</f>
        <v>20</v>
      </c>
      <c r="AA118" s="85">
        <f ca="1">ABS(V116-V117-AA114)/W118</f>
        <v>0.69401258233914742</v>
      </c>
      <c r="AB118" s="85">
        <f ca="1">SQRT(Y118^2/(Y118^2+Z118))</f>
        <v>0.57954552528081527</v>
      </c>
      <c r="AD118" t="s">
        <v>361</v>
      </c>
      <c r="AE118" s="74">
        <f ca="1">SUMPRODUCT(--ISNUMBER(E112:E132),--ISNUMBER(F112:F132),--(E112:E132&lt;&gt;F112:F132))</f>
        <v>16</v>
      </c>
    </row>
    <row r="119" spans="4:32" x14ac:dyDescent="0.3">
      <c r="D119" s="2" t="s">
        <v>292</v>
      </c>
      <c r="E119" s="37" cm="1">
        <f t="array" aca="1" ref="E119" ca="1">INDIRECT("'" &amp; D119 &amp; "'!$e$58")</f>
        <v>2</v>
      </c>
      <c r="F119" s="37" cm="1">
        <f t="array" aca="1" ref="F119" ca="1">INDIRECT("'" &amp; D119 &amp; "'!$f$58")</f>
        <v>1</v>
      </c>
      <c r="H119" t="s">
        <v>305</v>
      </c>
      <c r="I119">
        <f ca="1">_xlfn.STDEV.S(E112:E132)</f>
        <v>1.5537971921347116</v>
      </c>
      <c r="N119" t="s">
        <v>305</v>
      </c>
      <c r="O119">
        <f ca="1">_xlfn.STDEV.S(F112:F132)</f>
        <v>1.6271505915615334</v>
      </c>
      <c r="R119" s="74"/>
      <c r="AD119" t="s">
        <v>362</v>
      </c>
      <c r="AE119" s="74">
        <f ca="1">IF(AE121&lt;=AE124,AE121,AE118*(AE118+1)/2)</f>
        <v>17</v>
      </c>
    </row>
    <row r="120" spans="4:32" ht="15" thickBot="1" x14ac:dyDescent="0.35">
      <c r="D120" s="2" t="s">
        <v>293</v>
      </c>
      <c r="E120" s="37" cm="1">
        <f t="array" aca="1" ref="E120" ca="1">INDIRECT("'" &amp; D120 &amp; "'!$e$58")</f>
        <v>1</v>
      </c>
      <c r="F120" s="37" cm="1">
        <f t="array" aca="1" ref="F120" ca="1">INDIRECT("'" &amp; D120 &amp; "'!$f$58")</f>
        <v>3</v>
      </c>
      <c r="H120" t="s">
        <v>306</v>
      </c>
      <c r="I120">
        <f ca="1">_xlfn.VAR.S(E112:E132)</f>
        <v>2.4142857142857137</v>
      </c>
      <c r="K120" t="s">
        <v>336</v>
      </c>
      <c r="N120" t="s">
        <v>306</v>
      </c>
      <c r="O120">
        <f ca="1">_xlfn.VAR.S(F112:F132)</f>
        <v>2.647619047619048</v>
      </c>
      <c r="Q120" t="s">
        <v>336</v>
      </c>
      <c r="R120" s="90"/>
      <c r="T120" t="s">
        <v>350</v>
      </c>
      <c r="AD120" t="s">
        <v>363</v>
      </c>
      <c r="AE120" s="74">
        <f ca="1">AE118*(AE118+1)/2-AE119</f>
        <v>119</v>
      </c>
    </row>
    <row r="121" spans="4:32" ht="15" thickTop="1" x14ac:dyDescent="0.3">
      <c r="D121" s="2" t="s">
        <v>294</v>
      </c>
      <c r="E121" s="37" cm="1">
        <f t="array" aca="1" ref="E121" ca="1">INDIRECT("'" &amp; D121 &amp; "'!$e$58")</f>
        <v>5</v>
      </c>
      <c r="F121" s="37" cm="1">
        <f t="array" aca="1" ref="F121" ca="1">INDIRECT("'" &amp; D121 &amp; "'!$f$58")</f>
        <v>3</v>
      </c>
      <c r="H121" t="s">
        <v>307</v>
      </c>
      <c r="I121">
        <f ca="1">KURT(E112:E132)</f>
        <v>-1.2002933702380316</v>
      </c>
      <c r="N121" t="s">
        <v>307</v>
      </c>
      <c r="O121">
        <f ca="1">KURT(F112:F132)</f>
        <v>-0.30054222430461497</v>
      </c>
      <c r="T121" s="101" t="s">
        <v>351</v>
      </c>
      <c r="U121" s="101" t="s">
        <v>333</v>
      </c>
      <c r="V121" s="101" t="s">
        <v>352</v>
      </c>
      <c r="W121" s="101" t="s">
        <v>353</v>
      </c>
      <c r="X121" s="101" t="s">
        <v>354</v>
      </c>
      <c r="Y121" s="101" t="s">
        <v>355</v>
      </c>
      <c r="AD121" t="s">
        <v>364</v>
      </c>
      <c r="AE121" s="75">
        <f ca="1">[1]!SRANK(E112:E132,F112:F132)</f>
        <v>17</v>
      </c>
    </row>
    <row r="122" spans="4:32" x14ac:dyDescent="0.3">
      <c r="D122" s="2" t="s">
        <v>295</v>
      </c>
      <c r="E122" s="37" cm="1">
        <f t="array" aca="1" ref="E122" ca="1">INDIRECT("'" &amp; D122 &amp; "'!$e$58")</f>
        <v>5</v>
      </c>
      <c r="F122" s="37" cm="1">
        <f t="array" aca="1" ref="F122" ca="1">INDIRECT("'" &amp; D122 &amp; "'!$f$58")</f>
        <v>7</v>
      </c>
      <c r="H122" t="s">
        <v>308</v>
      </c>
      <c r="I122">
        <f ca="1">SKEW(E112:E132)</f>
        <v>9.0194047370897021E-2</v>
      </c>
      <c r="K122" s="85" t="s">
        <v>337</v>
      </c>
      <c r="L122" s="85">
        <f ca="1">[1]!DAGOSTINO(E112:E132)</f>
        <v>3.1760328892892948</v>
      </c>
      <c r="N122" t="s">
        <v>308</v>
      </c>
      <c r="O122">
        <f ca="1">SKEW(F112:F132)</f>
        <v>4.1304960174532021E-3</v>
      </c>
      <c r="Q122" s="94" t="s">
        <v>337</v>
      </c>
      <c r="R122" s="95">
        <f ca="1">[1]!DAGOSTINO(F112:F132)</f>
        <v>1.7413705088471718E-2</v>
      </c>
      <c r="T122" t="s">
        <v>356</v>
      </c>
      <c r="U122">
        <f ca="1">_xlfn.T.DIST.RT(ABS(Y118),Z118)</f>
        <v>2.3510798264340035E-3</v>
      </c>
      <c r="V122">
        <f ca="1">_xlfn.T.INV.2T(X114*2,Z118)</f>
        <v>1.7247182429207868</v>
      </c>
      <c r="Y122" s="70" t="str">
        <f ca="1">IF(U122&lt;X114,"yes","no")</f>
        <v>yes</v>
      </c>
    </row>
    <row r="123" spans="4:32" x14ac:dyDescent="0.3">
      <c r="D123" s="2" t="s">
        <v>296</v>
      </c>
      <c r="E123" s="37" cm="1">
        <f t="array" aca="1" ref="E123" ca="1">INDIRECT("'" &amp; D123 &amp; "'!$e$58")</f>
        <v>2</v>
      </c>
      <c r="F123" s="37" cm="1">
        <f t="array" aca="1" ref="F123" ca="1">INDIRECT("'" &amp; D123 &amp; "'!$f$58")</f>
        <v>6</v>
      </c>
      <c r="H123" t="s">
        <v>309</v>
      </c>
      <c r="I123" s="65">
        <f ca="1">I124-I125</f>
        <v>5</v>
      </c>
      <c r="K123" t="s">
        <v>333</v>
      </c>
      <c r="L123">
        <f ca="1">[1]!DPTEST(E112:E132)</f>
        <v>0.20433051091067123</v>
      </c>
      <c r="N123" t="s">
        <v>309</v>
      </c>
      <c r="O123" s="65">
        <f ca="1">O124-O125</f>
        <v>6</v>
      </c>
      <c r="Q123" t="s">
        <v>333</v>
      </c>
      <c r="R123" s="74">
        <f ca="1">[1]!DPTEST(F112:F132)</f>
        <v>0.99133094232538277</v>
      </c>
      <c r="T123" t="s">
        <v>357</v>
      </c>
      <c r="U123">
        <f ca="1">_xlfn.T.DIST.2T(ABS(Y118),Z118)</f>
        <v>4.7021596528680071E-3</v>
      </c>
      <c r="V123">
        <f ca="1">_xlfn.T.INV.2T(X114,Z118)</f>
        <v>2.0859634472658648</v>
      </c>
      <c r="W123">
        <f ca="1">(V116-V117)-X118*V123</f>
        <v>-1.8135916474009832</v>
      </c>
      <c r="X123">
        <f ca="1">(V116-V117)+X118*V123</f>
        <v>-0.37688454307520824</v>
      </c>
      <c r="Y123" s="70" t="str">
        <f ca="1">IF(U123&lt;X114,"yes","no")</f>
        <v>yes</v>
      </c>
      <c r="AE123" s="70" t="s">
        <v>365</v>
      </c>
      <c r="AF123" s="70" t="s">
        <v>366</v>
      </c>
    </row>
    <row r="124" spans="4:32" x14ac:dyDescent="0.3">
      <c r="D124" s="2" t="s">
        <v>297</v>
      </c>
      <c r="E124" s="37" cm="1">
        <f t="array" aca="1" ref="E124" ca="1">INDIRECT("'" &amp; D124 &amp; "'!$e$58")</f>
        <v>5</v>
      </c>
      <c r="F124" s="37" cm="1">
        <f t="array" aca="1" ref="F124" ca="1">INDIRECT("'" &amp; D124 &amp; "'!$f$58")</f>
        <v>5</v>
      </c>
      <c r="H124" t="s">
        <v>310</v>
      </c>
      <c r="I124" s="65">
        <f ca="1">MAX(E112:E132)</f>
        <v>6</v>
      </c>
      <c r="K124" t="s">
        <v>334</v>
      </c>
      <c r="L124">
        <v>0.05</v>
      </c>
      <c r="N124" t="s">
        <v>310</v>
      </c>
      <c r="O124" s="65">
        <f ca="1">MAX(F112:F132)</f>
        <v>7</v>
      </c>
      <c r="Q124" t="s">
        <v>334</v>
      </c>
      <c r="R124" s="89">
        <v>0.05</v>
      </c>
      <c r="T124" s="85"/>
      <c r="U124" s="85"/>
      <c r="V124" s="85"/>
      <c r="W124" s="85"/>
      <c r="X124" s="85"/>
      <c r="Y124" s="85"/>
      <c r="AD124" t="s">
        <v>367</v>
      </c>
      <c r="AE124" s="88">
        <f ca="1">AE118*(AE118+1)/4</f>
        <v>68</v>
      </c>
    </row>
    <row r="125" spans="4:32" x14ac:dyDescent="0.3">
      <c r="D125" s="2" t="s">
        <v>298</v>
      </c>
      <c r="E125" s="37" cm="1">
        <f t="array" aca="1" ref="E125" ca="1">INDIRECT("'" &amp; D125 &amp; "'!$e$58")</f>
        <v>3</v>
      </c>
      <c r="F125" s="37" cm="1">
        <f t="array" aca="1" ref="F125" ca="1">INDIRECT("'" &amp; D125 &amp; "'!$f$58")</f>
        <v>7</v>
      </c>
      <c r="H125" t="s">
        <v>311</v>
      </c>
      <c r="I125" s="65">
        <f ca="1">MIN(E112:E132)</f>
        <v>1</v>
      </c>
      <c r="K125" s="63" t="s">
        <v>335</v>
      </c>
      <c r="L125" s="66" t="str">
        <f ca="1">IF(L123&lt;L124,"no","yes")</f>
        <v>yes</v>
      </c>
      <c r="N125" t="s">
        <v>311</v>
      </c>
      <c r="O125" s="65">
        <f ca="1">MIN(F112:F132)</f>
        <v>1</v>
      </c>
      <c r="Q125" s="63" t="s">
        <v>335</v>
      </c>
      <c r="R125" s="93" t="str">
        <f ca="1">IF(R123&lt;R124,"no","yes")</f>
        <v>yes</v>
      </c>
      <c r="T125" s="63"/>
      <c r="U125" s="66"/>
      <c r="AD125" t="s">
        <v>368</v>
      </c>
      <c r="AE125" s="74">
        <f ca="1">SQRT(AE124*(2*AE118+1)/6-[1]!TiesCorrection(E112:E132,F112:F132,1)/48)</f>
        <v>19.039432764659772</v>
      </c>
      <c r="AF125" t="s">
        <v>369</v>
      </c>
    </row>
    <row r="126" spans="4:32" x14ac:dyDescent="0.3">
      <c r="D126" s="2" t="s">
        <v>299</v>
      </c>
      <c r="E126" s="37" cm="1">
        <f t="array" aca="1" ref="E126" ca="1">INDIRECT("'" &amp; D126 &amp; "'!$e$58")</f>
        <v>3</v>
      </c>
      <c r="F126" s="37" cm="1">
        <f t="array" aca="1" ref="F126" ca="1">INDIRECT("'" &amp; D126 &amp; "'!$f$58")</f>
        <v>3</v>
      </c>
      <c r="H126" t="s">
        <v>312</v>
      </c>
      <c r="I126" s="65">
        <f ca="1">SUM(E112:E132)</f>
        <v>69</v>
      </c>
      <c r="N126" t="s">
        <v>312</v>
      </c>
      <c r="O126" s="65">
        <f ca="1">SUM(F112:F132)</f>
        <v>92</v>
      </c>
      <c r="R126" s="74"/>
      <c r="AD126" t="s">
        <v>370</v>
      </c>
      <c r="AE126" s="74">
        <f ca="1">ABS(ABS(AE121-AE124)-1/2)/AE125</f>
        <v>2.6523899437663956</v>
      </c>
      <c r="AF126" t="s">
        <v>371</v>
      </c>
    </row>
    <row r="127" spans="4:32" x14ac:dyDescent="0.3">
      <c r="D127" s="2" t="s">
        <v>395</v>
      </c>
      <c r="E127" s="37" cm="1">
        <f t="array" aca="1" ref="E127" ca="1">INDIRECT("'" &amp; D127 &amp; "'!$e$58")</f>
        <v>2</v>
      </c>
      <c r="F127" s="37" cm="1">
        <f t="array" aca="1" ref="F127" ca="1">INDIRECT("'" &amp; D127 &amp; "'!$f$58")</f>
        <v>4</v>
      </c>
      <c r="H127" t="s">
        <v>313</v>
      </c>
      <c r="I127">
        <f ca="1">COUNT(E112:E132)</f>
        <v>21</v>
      </c>
      <c r="N127" t="s">
        <v>313</v>
      </c>
      <c r="O127">
        <f ca="1">COUNT(F112:F132)</f>
        <v>21</v>
      </c>
      <c r="R127" s="90"/>
      <c r="AD127" t="s">
        <v>372</v>
      </c>
      <c r="AE127" s="74">
        <f ca="1">AE126/SQRT(AE118)</f>
        <v>0.6630974859415989</v>
      </c>
    </row>
    <row r="128" spans="4:32" x14ac:dyDescent="0.3">
      <c r="D128" s="2" t="s">
        <v>396</v>
      </c>
      <c r="E128" s="37" cm="1">
        <f t="array" aca="1" ref="E128" ca="1">INDIRECT("'" &amp; D128 &amp; "'!$e$58")</f>
        <v>3</v>
      </c>
      <c r="F128" s="37" cm="1">
        <f t="array" aca="1" ref="F128" ca="1">INDIRECT("'" &amp; D128 &amp; "'!$f$58")</f>
        <v>5</v>
      </c>
      <c r="H128" t="s">
        <v>314</v>
      </c>
      <c r="I128">
        <f ca="1">GEOMEAN(E112:E132)</f>
        <v>2.8779912264210936</v>
      </c>
      <c r="N128" t="s">
        <v>314</v>
      </c>
      <c r="O128">
        <f ca="1">GEOMEAN(F112:F132)</f>
        <v>4.0290923240419545</v>
      </c>
      <c r="AD128" t="s">
        <v>373</v>
      </c>
      <c r="AE128" s="88">
        <f ca="1">1-_xlfn.NORM.S.DIST(AE126,TRUE)</f>
        <v>3.9962089413141388E-3</v>
      </c>
      <c r="AF128" s="104">
        <f ca="1">2*AE128</f>
        <v>7.9924178826282777E-3</v>
      </c>
    </row>
    <row r="129" spans="4:32" x14ac:dyDescent="0.3">
      <c r="D129" s="2" t="s">
        <v>397</v>
      </c>
      <c r="E129" s="37" cm="1">
        <f t="array" aca="1" ref="E129" ca="1">INDIRECT("'" &amp; D129 &amp; "'!$e$58")</f>
        <v>5</v>
      </c>
      <c r="F129" s="37" cm="1">
        <f t="array" aca="1" ref="F129" ca="1">INDIRECT("'" &amp; D129 &amp; "'!$f$58")</f>
        <v>4</v>
      </c>
      <c r="H129" t="s">
        <v>315</v>
      </c>
      <c r="I129">
        <f ca="1">HARMEAN(E112:E132)</f>
        <v>2.4371373307543522</v>
      </c>
      <c r="N129" t="s">
        <v>315</v>
      </c>
      <c r="O129">
        <f ca="1">HARMEAN(F112:F132)</f>
        <v>3.562197092084006</v>
      </c>
      <c r="R129" s="87"/>
      <c r="AD129" t="s">
        <v>374</v>
      </c>
      <c r="AE129" s="74">
        <f ca="1">[1]!SRDIST(AE121,AE118,1)</f>
        <v>3.143310546875E-3</v>
      </c>
      <c r="AF129" s="77">
        <f ca="1">2*AE129</f>
        <v>6.28662109375E-3</v>
      </c>
    </row>
    <row r="130" spans="4:32" x14ac:dyDescent="0.3">
      <c r="D130" s="2" t="s">
        <v>398</v>
      </c>
      <c r="E130" s="37" cm="1">
        <f t="array" aca="1" ref="E130" ca="1">INDIRECT("'" &amp; D130 &amp; "'!$e$58")</f>
        <v>4</v>
      </c>
      <c r="F130" s="37" cm="1">
        <f t="array" aca="1" ref="F130" ca="1">INDIRECT("'" &amp; D130 &amp; "'!$f$58")</f>
        <v>5</v>
      </c>
      <c r="H130" t="s">
        <v>316</v>
      </c>
      <c r="I130">
        <f ca="1">AVEDEV(E112:E132)</f>
        <v>1.3061224489795917</v>
      </c>
      <c r="N130" t="s">
        <v>316</v>
      </c>
      <c r="O130">
        <f ca="1">AVEDEV(F112:F132)</f>
        <v>1.2925170068027216</v>
      </c>
      <c r="AD130" t="s">
        <v>375</v>
      </c>
      <c r="AE130" s="75" t="s">
        <v>376</v>
      </c>
      <c r="AF130" s="78" t="s">
        <v>376</v>
      </c>
    </row>
    <row r="131" spans="4:32" x14ac:dyDescent="0.3">
      <c r="D131" s="2" t="s">
        <v>399</v>
      </c>
      <c r="E131" s="37" cm="1">
        <f t="array" aca="1" ref="E131" ca="1">INDIRECT("'" &amp; D131 &amp; "'!$e$58")</f>
        <v>5</v>
      </c>
      <c r="F131" s="37" cm="1">
        <f t="array" aca="1" ref="F131" ca="1">INDIRECT("'" &amp; D131 &amp; "'!$f$58")</f>
        <v>5</v>
      </c>
      <c r="H131" t="s">
        <v>317</v>
      </c>
      <c r="I131">
        <f ca="1">[1]!MAD(E112:E132)</f>
        <v>1</v>
      </c>
      <c r="N131" t="s">
        <v>317</v>
      </c>
      <c r="O131">
        <f ca="1">[1]!MAD(F112:F132)</f>
        <v>1</v>
      </c>
    </row>
    <row r="132" spans="4:32" x14ac:dyDescent="0.3">
      <c r="D132" s="2" t="s">
        <v>400</v>
      </c>
      <c r="E132" s="37" cm="1">
        <f t="array" aca="1" ref="E132" ca="1">INDIRECT("'" &amp; D132 &amp; "'!$e$58")</f>
        <v>6</v>
      </c>
      <c r="F132" s="37" cm="1">
        <f t="array" aca="1" ref="F132" ca="1">INDIRECT("'" &amp; D132 &amp; "'!$f$58")</f>
        <v>6</v>
      </c>
      <c r="H132" s="63" t="s">
        <v>318</v>
      </c>
      <c r="I132" s="63">
        <f ca="1">[1]!IQR(E112:E132,FALSE)</f>
        <v>3</v>
      </c>
      <c r="N132" s="63" t="s">
        <v>318</v>
      </c>
      <c r="O132" s="63">
        <f ca="1">[1]!IQR(F112:F132,FALSE)</f>
        <v>2</v>
      </c>
    </row>
    <row r="136" spans="4:32" x14ac:dyDescent="0.3">
      <c r="D136" s="2"/>
      <c r="E136" s="58" t="s">
        <v>99</v>
      </c>
      <c r="F136" s="2"/>
    </row>
    <row r="137" spans="4:32" x14ac:dyDescent="0.3">
      <c r="D137" s="2"/>
      <c r="E137" s="2"/>
      <c r="F137" s="2"/>
    </row>
    <row r="138" spans="4:32" x14ac:dyDescent="0.3">
      <c r="D138" s="2" t="s">
        <v>285</v>
      </c>
      <c r="E138" s="37" cm="1">
        <f t="array" aca="1" ref="E138" ca="1">INDIRECT("'" &amp; D138 &amp; "'!$e$59")</f>
        <v>7</v>
      </c>
      <c r="F138" s="37" cm="1">
        <f t="array" aca="1" ref="F138" ca="1">INDIRECT("'" &amp; D138 &amp; "'!$f$59")</f>
        <v>7</v>
      </c>
      <c r="H138" t="s">
        <v>300</v>
      </c>
      <c r="K138" t="s">
        <v>331</v>
      </c>
      <c r="N138" t="s">
        <v>300</v>
      </c>
      <c r="Q138" t="s">
        <v>331</v>
      </c>
      <c r="R138" s="87"/>
      <c r="T138" t="s">
        <v>338</v>
      </c>
      <c r="AD138" t="s">
        <v>358</v>
      </c>
    </row>
    <row r="139" spans="4:32" x14ac:dyDescent="0.3">
      <c r="D139" s="2" t="s">
        <v>286</v>
      </c>
      <c r="E139" s="37" cm="1">
        <f t="array" aca="1" ref="E139" ca="1">INDIRECT("'" &amp; D139 &amp; "'!$e$59")</f>
        <v>6</v>
      </c>
      <c r="F139" s="37" cm="1">
        <f t="array" aca="1" ref="F139" ca="1">INDIRECT("'" &amp; D139 &amp; "'!$f$59")</f>
        <v>6</v>
      </c>
    </row>
    <row r="140" spans="4:32" ht="15" thickBot="1" x14ac:dyDescent="0.35">
      <c r="D140" s="2" t="s">
        <v>287</v>
      </c>
      <c r="E140" s="37" cm="1">
        <f t="array" aca="1" ref="E140" ca="1">INDIRECT("'" &amp; D140 &amp; "'!$e$59")</f>
        <v>6</v>
      </c>
      <c r="F140" s="37" cm="1">
        <f t="array" aca="1" ref="F140" ca="1">INDIRECT("'" &amp; D140 &amp; "'!$f$59")</f>
        <v>5</v>
      </c>
      <c r="H140" s="64"/>
      <c r="I140" s="64" t="s">
        <v>379</v>
      </c>
      <c r="K140" s="64"/>
      <c r="L140" s="64" t="s">
        <v>379</v>
      </c>
      <c r="N140" s="64"/>
      <c r="O140" s="86" t="s">
        <v>379</v>
      </c>
      <c r="Q140" s="92"/>
      <c r="R140" s="91" t="s">
        <v>379</v>
      </c>
      <c r="T140" s="79" t="s">
        <v>339</v>
      </c>
      <c r="U140" s="96"/>
      <c r="W140" t="s">
        <v>340</v>
      </c>
      <c r="X140">
        <v>0.05</v>
      </c>
      <c r="Z140" t="s">
        <v>341</v>
      </c>
      <c r="AA140">
        <v>0</v>
      </c>
      <c r="AE140" t="s">
        <v>381</v>
      </c>
      <c r="AF140" t="s">
        <v>382</v>
      </c>
    </row>
    <row r="141" spans="4:32" ht="15" thickTop="1" x14ac:dyDescent="0.3">
      <c r="D141" s="2" t="s">
        <v>288</v>
      </c>
      <c r="E141" s="37" cm="1">
        <f t="array" aca="1" ref="E141" ca="1">INDIRECT("'" &amp; D141 &amp; "'!$e$59")</f>
        <v>7</v>
      </c>
      <c r="F141" s="37" cm="1">
        <f t="array" aca="1" ref="F141" ca="1">INDIRECT("'" &amp; D141 &amp; "'!$f$59")</f>
        <v>7</v>
      </c>
      <c r="H141" t="s">
        <v>301</v>
      </c>
      <c r="I141" s="65">
        <f ca="1">AVERAGE(E138:E158)</f>
        <v>6.6190476190476186</v>
      </c>
      <c r="K141" t="s">
        <v>332</v>
      </c>
      <c r="L141">
        <f ca="1">[1]!SHAPIRO(E138:E158)</f>
        <v>0.61975482053638331</v>
      </c>
      <c r="N141" t="s">
        <v>301</v>
      </c>
      <c r="O141" s="65">
        <f ca="1">AVERAGE(F138:F158)</f>
        <v>6.3809523809523814</v>
      </c>
      <c r="Q141" t="s">
        <v>332</v>
      </c>
      <c r="R141" s="74">
        <f ca="1">[1]!SHAPIRO(F138:F158)</f>
        <v>0.7213706698762179</v>
      </c>
      <c r="T141" s="97" t="s">
        <v>342</v>
      </c>
      <c r="U141" s="97" t="s">
        <v>313</v>
      </c>
      <c r="V141" s="97" t="s">
        <v>301</v>
      </c>
      <c r="W141" s="97" t="s">
        <v>343</v>
      </c>
      <c r="X141" s="97" t="s">
        <v>344</v>
      </c>
      <c r="Y141" s="97" t="s">
        <v>345</v>
      </c>
      <c r="Z141" s="97" t="s">
        <v>346</v>
      </c>
      <c r="AA141" s="97" t="s">
        <v>347</v>
      </c>
      <c r="AB141" s="97" t="s">
        <v>348</v>
      </c>
      <c r="AD141" t="s">
        <v>359</v>
      </c>
      <c r="AE141" s="102">
        <f ca="1">MEDIAN(E138:E158)</f>
        <v>7</v>
      </c>
      <c r="AF141" s="103">
        <f ca="1">MEDIAN(F138:F158)</f>
        <v>7</v>
      </c>
    </row>
    <row r="142" spans="4:32" x14ac:dyDescent="0.3">
      <c r="D142" s="2" t="s">
        <v>289</v>
      </c>
      <c r="E142" s="37" cm="1">
        <f t="array" aca="1" ref="E142" ca="1">INDIRECT("'" &amp; D142 &amp; "'!$e$59")</f>
        <v>7</v>
      </c>
      <c r="F142" s="37" cm="1">
        <f t="array" aca="1" ref="F142" ca="1">INDIRECT("'" &amp; D142 &amp; "'!$f$59")</f>
        <v>7</v>
      </c>
      <c r="H142" t="s">
        <v>302</v>
      </c>
      <c r="I142">
        <f ca="1">_xlfn.STDEV.S(E138:E158)/SQRT(COUNT(E138:E158))</f>
        <v>0.10858813572372744</v>
      </c>
      <c r="K142" t="s">
        <v>333</v>
      </c>
      <c r="L142">
        <f ca="1">[1]!SWTEST(E138:E158)</f>
        <v>3.2074185561947743E-6</v>
      </c>
      <c r="N142" t="s">
        <v>302</v>
      </c>
      <c r="O142">
        <f ca="1">_xlfn.STDEV.S(F138:F158)/SQRT(COUNT(F138:F158))</f>
        <v>0.17561037061510271</v>
      </c>
      <c r="Q142" t="s">
        <v>333</v>
      </c>
      <c r="R142" s="74">
        <f ca="1">[1]!SWTEST(F138:F158)</f>
        <v>5.1454321743027442E-5</v>
      </c>
      <c r="T142" t="s">
        <v>379</v>
      </c>
      <c r="U142">
        <f ca="1">COUNT(E138:E158)</f>
        <v>21</v>
      </c>
      <c r="V142" s="65">
        <f ca="1">AVERAGE(E138:E158)</f>
        <v>6.6190476190476186</v>
      </c>
      <c r="W142">
        <f ca="1">_xlfn.STDEV.S(E138:E158)</f>
        <v>0.49761335152811931</v>
      </c>
    </row>
    <row r="143" spans="4:32" x14ac:dyDescent="0.3">
      <c r="D143" s="2" t="s">
        <v>290</v>
      </c>
      <c r="E143" s="37" cm="1">
        <f t="array" aca="1" ref="E143" ca="1">INDIRECT("'" &amp; D143 &amp; "'!$e$59")</f>
        <v>6</v>
      </c>
      <c r="F143" s="37" cm="1">
        <f t="array" aca="1" ref="F143" ca="1">INDIRECT("'" &amp; D143 &amp; "'!$f$59")</f>
        <v>5</v>
      </c>
      <c r="H143" t="s">
        <v>303</v>
      </c>
      <c r="I143" s="65">
        <f ca="1">MEDIAN(E138:E158)</f>
        <v>7</v>
      </c>
      <c r="K143" t="s">
        <v>334</v>
      </c>
      <c r="L143">
        <v>0.05</v>
      </c>
      <c r="N143" t="s">
        <v>303</v>
      </c>
      <c r="O143" s="65">
        <f ca="1">MEDIAN(F138:F158)</f>
        <v>7</v>
      </c>
      <c r="Q143" t="s">
        <v>334</v>
      </c>
      <c r="R143" s="74">
        <v>0.05</v>
      </c>
      <c r="T143" t="s">
        <v>380</v>
      </c>
      <c r="U143">
        <f ca="1">COUNT(F138:F158)</f>
        <v>21</v>
      </c>
      <c r="V143" s="65">
        <f ca="1">AVERAGE(F138:F158)</f>
        <v>6.3809523809523814</v>
      </c>
      <c r="W143">
        <f ca="1">_xlfn.STDEV.S(F138:F158)</f>
        <v>0.80474781616295687</v>
      </c>
      <c r="AD143" t="s">
        <v>360</v>
      </c>
      <c r="AE143" s="88">
        <f ca="1">SUMPRODUCT(--ISNUMBER(E138:E158),--ISNUMBER(F138:F158))</f>
        <v>21</v>
      </c>
    </row>
    <row r="144" spans="4:32" x14ac:dyDescent="0.3">
      <c r="D144" s="2" t="s">
        <v>291</v>
      </c>
      <c r="E144" s="37" cm="1">
        <f t="array" aca="1" ref="E144" ca="1">INDIRECT("'" &amp; D144 &amp; "'!$e$59")</f>
        <v>7</v>
      </c>
      <c r="F144" s="37" cm="1">
        <f t="array" aca="1" ref="F144" ca="1">INDIRECT("'" &amp; D144 &amp; "'!$f$59")</f>
        <v>7</v>
      </c>
      <c r="H144" t="s">
        <v>304</v>
      </c>
      <c r="I144">
        <f ca="1">MODE(E138:E158)</f>
        <v>7</v>
      </c>
      <c r="K144" s="63" t="s">
        <v>335</v>
      </c>
      <c r="L144" s="66" t="str">
        <f ca="1">IF(L142&lt;L143,"no","yes")</f>
        <v>no</v>
      </c>
      <c r="N144" t="s">
        <v>304</v>
      </c>
      <c r="O144">
        <f ca="1">MODE(F138:F158)</f>
        <v>7</v>
      </c>
      <c r="Q144" s="63" t="s">
        <v>335</v>
      </c>
      <c r="R144" s="93" t="str">
        <f ca="1">IF(R142&lt;R143,"no","yes")</f>
        <v>no</v>
      </c>
      <c r="T144" s="98" t="s">
        <v>349</v>
      </c>
      <c r="U144" s="99">
        <f ca="1">U143</f>
        <v>21</v>
      </c>
      <c r="V144" s="100">
        <f ca="1">V142-V143</f>
        <v>0.23809523809523725</v>
      </c>
      <c r="W144" s="85">
        <f t="array" aca="1" ref="W144" ca="1">_xlfn.STDEV.S(E138:E158-F138:F158)</f>
        <v>0.53895843112079656</v>
      </c>
      <c r="X144" s="85">
        <f ca="1">W144/SQRT(U144)</f>
        <v>0.11761037176408065</v>
      </c>
      <c r="Y144" s="85">
        <f ca="1">(V142-V143-AA140)/X144</f>
        <v>2.0244408254472828</v>
      </c>
      <c r="Z144" s="85">
        <f ca="1">U144-1</f>
        <v>20</v>
      </c>
      <c r="AA144" s="85">
        <f ca="1">ABS(V142-V143-AA140)/W144</f>
        <v>0.44176920583671703</v>
      </c>
      <c r="AB144" s="85">
        <f ca="1">SQRT(Y144^2/(Y144^2+Z144))</f>
        <v>0.41239304942116001</v>
      </c>
      <c r="AD144" t="s">
        <v>361</v>
      </c>
      <c r="AE144" s="74">
        <f ca="1">SUMPRODUCT(--ISNUMBER(E138:E158),--ISNUMBER(F138:F158),--(E138:E158&lt;&gt;F138:F158))</f>
        <v>7</v>
      </c>
    </row>
    <row r="145" spans="4:32" x14ac:dyDescent="0.3">
      <c r="D145" s="2" t="s">
        <v>292</v>
      </c>
      <c r="E145" s="37" cm="1">
        <f t="array" aca="1" ref="E145" ca="1">INDIRECT("'" &amp; D145 &amp; "'!$e$59")</f>
        <v>6</v>
      </c>
      <c r="F145" s="37" cm="1">
        <f t="array" aca="1" ref="F145" ca="1">INDIRECT("'" &amp; D145 &amp; "'!$f$59")</f>
        <v>7</v>
      </c>
      <c r="H145" t="s">
        <v>305</v>
      </c>
      <c r="I145">
        <f ca="1">_xlfn.STDEV.S(E138:E158)</f>
        <v>0.49761335152811931</v>
      </c>
      <c r="N145" t="s">
        <v>305</v>
      </c>
      <c r="O145">
        <f ca="1">_xlfn.STDEV.S(F138:F158)</f>
        <v>0.80474781616295687</v>
      </c>
      <c r="R145" s="74"/>
      <c r="AD145" t="s">
        <v>362</v>
      </c>
      <c r="AE145" s="74">
        <f ca="1">IF(AE147&lt;=AE150,AE147,AE144*(AE144+1)/2)</f>
        <v>4</v>
      </c>
    </row>
    <row r="146" spans="4:32" ht="15" thickBot="1" x14ac:dyDescent="0.35">
      <c r="D146" s="2" t="s">
        <v>293</v>
      </c>
      <c r="E146" s="37" cm="1">
        <f t="array" aca="1" ref="E146" ca="1">INDIRECT("'" &amp; D146 &amp; "'!$e$59")</f>
        <v>7</v>
      </c>
      <c r="F146" s="37" cm="1">
        <f t="array" aca="1" ref="F146" ca="1">INDIRECT("'" &amp; D146 &amp; "'!$f$59")</f>
        <v>6</v>
      </c>
      <c r="H146" t="s">
        <v>306</v>
      </c>
      <c r="I146">
        <f ca="1">_xlfn.VAR.S(E138:E158)</f>
        <v>0.24761904761904763</v>
      </c>
      <c r="K146" t="s">
        <v>336</v>
      </c>
      <c r="N146" t="s">
        <v>306</v>
      </c>
      <c r="O146">
        <f ca="1">_xlfn.VAR.S(F138:F158)</f>
        <v>0.6476190476190482</v>
      </c>
      <c r="Q146" t="s">
        <v>336</v>
      </c>
      <c r="R146" s="90"/>
      <c r="T146" t="s">
        <v>350</v>
      </c>
      <c r="AD146" t="s">
        <v>363</v>
      </c>
      <c r="AE146" s="74">
        <f ca="1">AE144*(AE144+1)/2-AE145</f>
        <v>24</v>
      </c>
    </row>
    <row r="147" spans="4:32" ht="15" thickTop="1" x14ac:dyDescent="0.3">
      <c r="D147" s="2" t="s">
        <v>294</v>
      </c>
      <c r="E147" s="37" cm="1">
        <f t="array" aca="1" ref="E147" ca="1">INDIRECT("'" &amp; D147 &amp; "'!$e$59")</f>
        <v>7</v>
      </c>
      <c r="F147" s="37" cm="1">
        <f t="array" aca="1" ref="F147" ca="1">INDIRECT("'" &amp; D147 &amp; "'!$f$59")</f>
        <v>7</v>
      </c>
      <c r="H147" t="s">
        <v>307</v>
      </c>
      <c r="I147">
        <f ca="1">KURT(E138:E158)</f>
        <v>-1.9129554655870475</v>
      </c>
      <c r="N147" t="s">
        <v>307</v>
      </c>
      <c r="O147">
        <f ca="1">KURT(F138:F158)</f>
        <v>-0.86527954835184895</v>
      </c>
      <c r="T147" s="101" t="s">
        <v>351</v>
      </c>
      <c r="U147" s="101" t="s">
        <v>333</v>
      </c>
      <c r="V147" s="101" t="s">
        <v>352</v>
      </c>
      <c r="W147" s="101" t="s">
        <v>353</v>
      </c>
      <c r="X147" s="101" t="s">
        <v>354</v>
      </c>
      <c r="Y147" s="101" t="s">
        <v>355</v>
      </c>
      <c r="AD147" t="s">
        <v>364</v>
      </c>
      <c r="AE147" s="75">
        <f ca="1">[1]!SRANK(E138:E158,F138:F158)</f>
        <v>4</v>
      </c>
    </row>
    <row r="148" spans="4:32" x14ac:dyDescent="0.3">
      <c r="D148" s="2" t="s">
        <v>295</v>
      </c>
      <c r="E148" s="37" cm="1">
        <f t="array" aca="1" ref="E148" ca="1">INDIRECT("'" &amp; D148 &amp; "'!$e$59")</f>
        <v>7</v>
      </c>
      <c r="F148" s="37" cm="1">
        <f t="array" aca="1" ref="F148" ca="1">INDIRECT("'" &amp; D148 &amp; "'!$f$59")</f>
        <v>7</v>
      </c>
      <c r="H148" t="s">
        <v>308</v>
      </c>
      <c r="I148">
        <f ca="1">SKEW(E138:E158)</f>
        <v>-0.52884010030822115</v>
      </c>
      <c r="K148" s="85" t="s">
        <v>337</v>
      </c>
      <c r="L148" s="85">
        <f ca="1">[1]!DAGOSTINO(E138:E158)</f>
        <v>22.929596869376741</v>
      </c>
      <c r="N148" t="s">
        <v>308</v>
      </c>
      <c r="O148">
        <f ca="1">SKEW(F138:F158)</f>
        <v>-0.84444660776797376</v>
      </c>
      <c r="Q148" s="94" t="s">
        <v>337</v>
      </c>
      <c r="R148" s="95">
        <f ca="1">[1]!DAGOSTINO(F138:F158)</f>
        <v>3.9236561196940567</v>
      </c>
      <c r="T148" t="s">
        <v>356</v>
      </c>
      <c r="U148">
        <f ca="1">_xlfn.T.DIST.RT(ABS(Y144),Z144)</f>
        <v>2.8243080819765169E-2</v>
      </c>
      <c r="V148">
        <f ca="1">_xlfn.T.INV.2T(X140*2,Z144)</f>
        <v>1.7247182429207868</v>
      </c>
      <c r="Y148" s="70" t="str">
        <f ca="1">IF(U148&lt;X140,"yes","no")</f>
        <v>yes</v>
      </c>
    </row>
    <row r="149" spans="4:32" x14ac:dyDescent="0.3">
      <c r="D149" s="2" t="s">
        <v>296</v>
      </c>
      <c r="E149" s="37" cm="1">
        <f t="array" aca="1" ref="E149" ca="1">INDIRECT("'" &amp; D149 &amp; "'!$e$59")</f>
        <v>7</v>
      </c>
      <c r="F149" s="37" cm="1">
        <f t="array" aca="1" ref="F149" ca="1">INDIRECT("'" &amp; D149 &amp; "'!$f$59")</f>
        <v>6</v>
      </c>
      <c r="H149" t="s">
        <v>309</v>
      </c>
      <c r="I149" s="65">
        <f ca="1">I150-I151</f>
        <v>1</v>
      </c>
      <c r="K149" t="s">
        <v>333</v>
      </c>
      <c r="L149">
        <f ca="1">[1]!DPTEST(E138:E158)</f>
        <v>1.0493039402370563E-5</v>
      </c>
      <c r="N149" t="s">
        <v>309</v>
      </c>
      <c r="O149" s="65">
        <f ca="1">O150-O151</f>
        <v>2</v>
      </c>
      <c r="Q149" t="s">
        <v>333</v>
      </c>
      <c r="R149" s="74">
        <f ca="1">[1]!DPTEST(F138:F158)</f>
        <v>0.14060115851482424</v>
      </c>
      <c r="T149" t="s">
        <v>357</v>
      </c>
      <c r="U149">
        <f ca="1">_xlfn.T.DIST.2T(ABS(Y144),Z144)</f>
        <v>5.6486161639530338E-2</v>
      </c>
      <c r="V149">
        <f ca="1">_xlfn.T.INV.2T(X140,Z144)</f>
        <v>2.0859634472658648</v>
      </c>
      <c r="W149">
        <f ca="1">(V142-V143)-X144*V149</f>
        <v>-7.2356984239843603E-3</v>
      </c>
      <c r="X149">
        <f ca="1">(V142-V143)+X144*V149</f>
        <v>0.48342617461445886</v>
      </c>
      <c r="Y149" s="70" t="str">
        <f ca="1">IF(U149&lt;X140,"yes","no")</f>
        <v>no</v>
      </c>
      <c r="AE149" s="70" t="s">
        <v>365</v>
      </c>
      <c r="AF149" s="70" t="s">
        <v>366</v>
      </c>
    </row>
    <row r="150" spans="4:32" x14ac:dyDescent="0.3">
      <c r="D150" s="2" t="s">
        <v>297</v>
      </c>
      <c r="E150" s="37" cm="1">
        <f t="array" aca="1" ref="E150" ca="1">INDIRECT("'" &amp; D150 &amp; "'!$e$59")</f>
        <v>7</v>
      </c>
      <c r="F150" s="37" cm="1">
        <f t="array" aca="1" ref="F150" ca="1">INDIRECT("'" &amp; D150 &amp; "'!$f$59")</f>
        <v>7</v>
      </c>
      <c r="H150" t="s">
        <v>310</v>
      </c>
      <c r="I150" s="65">
        <f ca="1">MAX(E138:E158)</f>
        <v>7</v>
      </c>
      <c r="K150" t="s">
        <v>334</v>
      </c>
      <c r="L150">
        <v>0.05</v>
      </c>
      <c r="N150" t="s">
        <v>310</v>
      </c>
      <c r="O150" s="65">
        <f ca="1">MAX(F138:F158)</f>
        <v>7</v>
      </c>
      <c r="Q150" t="s">
        <v>334</v>
      </c>
      <c r="R150" s="89">
        <v>0.05</v>
      </c>
      <c r="T150" s="85"/>
      <c r="U150" s="85"/>
      <c r="V150" s="85"/>
      <c r="W150" s="85"/>
      <c r="X150" s="85"/>
      <c r="Y150" s="85"/>
      <c r="AD150" t="s">
        <v>367</v>
      </c>
      <c r="AE150" s="88">
        <f ca="1">AE144*(AE144+1)/4</f>
        <v>14</v>
      </c>
    </row>
    <row r="151" spans="4:32" x14ac:dyDescent="0.3">
      <c r="D151" s="2" t="s">
        <v>298</v>
      </c>
      <c r="E151" s="37" cm="1">
        <f t="array" aca="1" ref="E151" ca="1">INDIRECT("'" &amp; D151 &amp; "'!$e$59")</f>
        <v>7</v>
      </c>
      <c r="F151" s="37" cm="1">
        <f t="array" aca="1" ref="F151" ca="1">INDIRECT("'" &amp; D151 &amp; "'!$f$59")</f>
        <v>7</v>
      </c>
      <c r="H151" t="s">
        <v>311</v>
      </c>
      <c r="I151" s="65">
        <f ca="1">MIN(E138:E158)</f>
        <v>6</v>
      </c>
      <c r="K151" s="63" t="s">
        <v>335</v>
      </c>
      <c r="L151" s="66" t="str">
        <f ca="1">IF(L149&lt;L150,"no","yes")</f>
        <v>no</v>
      </c>
      <c r="N151" t="s">
        <v>311</v>
      </c>
      <c r="O151" s="65">
        <f ca="1">MIN(F138:F158)</f>
        <v>5</v>
      </c>
      <c r="Q151" s="63" t="s">
        <v>335</v>
      </c>
      <c r="R151" s="93" t="str">
        <f ca="1">IF(R149&lt;R150,"no","yes")</f>
        <v>yes</v>
      </c>
      <c r="T151" s="63"/>
      <c r="U151" s="66"/>
      <c r="AD151" t="s">
        <v>368</v>
      </c>
      <c r="AE151" s="74">
        <f ca="1">SQRT(AE150*(2*AE144+1)/6-[1]!TiesCorrection(E138:E158,F138:F158,1)/48)</f>
        <v>5.2915026221291814</v>
      </c>
      <c r="AF151" t="s">
        <v>369</v>
      </c>
    </row>
    <row r="152" spans="4:32" x14ac:dyDescent="0.3">
      <c r="D152" s="2" t="s">
        <v>299</v>
      </c>
      <c r="E152" s="37" cm="1">
        <f t="array" aca="1" ref="E152" ca="1">INDIRECT("'" &amp; D152 &amp; "'!$e$59")</f>
        <v>6</v>
      </c>
      <c r="F152" s="37" cm="1">
        <f t="array" aca="1" ref="F152" ca="1">INDIRECT("'" &amp; D152 &amp; "'!$f$59")</f>
        <v>5</v>
      </c>
      <c r="H152" t="s">
        <v>312</v>
      </c>
      <c r="I152" s="65">
        <f ca="1">SUM(E138:E158)</f>
        <v>139</v>
      </c>
      <c r="N152" t="s">
        <v>312</v>
      </c>
      <c r="O152" s="65">
        <f ca="1">SUM(F138:F158)</f>
        <v>134</v>
      </c>
      <c r="R152" s="74"/>
      <c r="AD152" t="s">
        <v>370</v>
      </c>
      <c r="AE152" s="74">
        <f ca="1">ABS(ABS(AE147-AE150)-1/2)/AE151</f>
        <v>1.7953312467938292</v>
      </c>
      <c r="AF152" t="s">
        <v>371</v>
      </c>
    </row>
    <row r="153" spans="4:32" x14ac:dyDescent="0.3">
      <c r="D153" s="2" t="s">
        <v>395</v>
      </c>
      <c r="E153" s="37" cm="1">
        <f t="array" aca="1" ref="E153" ca="1">INDIRECT("'" &amp; D153 &amp; "'!$e$59")</f>
        <v>6</v>
      </c>
      <c r="F153" s="37" cm="1">
        <f t="array" aca="1" ref="F153" ca="1">INDIRECT("'" &amp; D153 &amp; "'!$f$59")</f>
        <v>5</v>
      </c>
      <c r="H153" t="s">
        <v>313</v>
      </c>
      <c r="I153">
        <f ca="1">COUNT(E138:E158)</f>
        <v>21</v>
      </c>
      <c r="N153" t="s">
        <v>313</v>
      </c>
      <c r="O153">
        <f ca="1">COUNT(F138:F158)</f>
        <v>21</v>
      </c>
      <c r="R153" s="90"/>
      <c r="AD153" t="s">
        <v>372</v>
      </c>
      <c r="AE153" s="74">
        <f ca="1">AE152/SQRT(AE144)</f>
        <v>0.67857142857142849</v>
      </c>
    </row>
    <row r="154" spans="4:32" x14ac:dyDescent="0.3">
      <c r="D154" s="2" t="s">
        <v>396</v>
      </c>
      <c r="E154" s="37" cm="1">
        <f t="array" aca="1" ref="E154" ca="1">INDIRECT("'" &amp; D154 &amp; "'!$e$59")</f>
        <v>7</v>
      </c>
      <c r="F154" s="37" cm="1">
        <f t="array" aca="1" ref="F154" ca="1">INDIRECT("'" &amp; D154 &amp; "'!$f$59")</f>
        <v>7</v>
      </c>
      <c r="H154" t="s">
        <v>314</v>
      </c>
      <c r="I154">
        <f ca="1">GEOMEAN(E138:E158)</f>
        <v>6.6007684927517749</v>
      </c>
      <c r="N154" t="s">
        <v>314</v>
      </c>
      <c r="O154">
        <f ca="1">GEOMEAN(F138:F158)</f>
        <v>6.3288443756863231</v>
      </c>
      <c r="AD154" t="s">
        <v>373</v>
      </c>
      <c r="AE154" s="88">
        <f ca="1">1-_xlfn.NORM.S.DIST(AE152,TRUE)</f>
        <v>3.630046972497869E-2</v>
      </c>
      <c r="AF154" s="104">
        <f ca="1">2*AE154</f>
        <v>7.260093944995738E-2</v>
      </c>
    </row>
    <row r="155" spans="4:32" x14ac:dyDescent="0.3">
      <c r="D155" s="2" t="s">
        <v>397</v>
      </c>
      <c r="E155" s="37" cm="1">
        <f t="array" aca="1" ref="E155" ca="1">INDIRECT("'" &amp; D155 &amp; "'!$e$59")</f>
        <v>6</v>
      </c>
      <c r="F155" s="37" cm="1">
        <f t="array" aca="1" ref="F155" ca="1">INDIRECT("'" &amp; D155 &amp; "'!$f$59")</f>
        <v>6</v>
      </c>
      <c r="H155" t="s">
        <v>315</v>
      </c>
      <c r="I155">
        <f ca="1">HARMEAN(E138:E158)</f>
        <v>6.5820895522388083</v>
      </c>
      <c r="N155" t="s">
        <v>315</v>
      </c>
      <c r="O155">
        <f ca="1">HARMEAN(F138:F158)</f>
        <v>6.2731152204836427</v>
      </c>
      <c r="R155" s="87"/>
      <c r="AD155" t="s">
        <v>374</v>
      </c>
      <c r="AE155" s="74">
        <f ca="1">[1]!SRDIST(AE147,AE144,1)</f>
        <v>5.46875E-2</v>
      </c>
      <c r="AF155" s="77">
        <f ca="1">2*AE155</f>
        <v>0.109375</v>
      </c>
    </row>
    <row r="156" spans="4:32" x14ac:dyDescent="0.3">
      <c r="D156" s="2" t="s">
        <v>398</v>
      </c>
      <c r="E156" s="37" cm="1">
        <f t="array" aca="1" ref="E156" ca="1">INDIRECT("'" &amp; D156 &amp; "'!$e$59")</f>
        <v>7</v>
      </c>
      <c r="F156" s="37" cm="1">
        <f t="array" aca="1" ref="F156" ca="1">INDIRECT("'" &amp; D156 &amp; "'!$f$59")</f>
        <v>7</v>
      </c>
      <c r="H156" t="s">
        <v>316</v>
      </c>
      <c r="I156">
        <f ca="1">AVEDEV(E138:E158)</f>
        <v>0.47165532879818606</v>
      </c>
      <c r="N156" t="s">
        <v>316</v>
      </c>
      <c r="O156">
        <f ca="1">AVEDEV(F138:F158)</f>
        <v>0.70748299319727881</v>
      </c>
      <c r="AD156" t="s">
        <v>375</v>
      </c>
      <c r="AE156" s="75" t="s">
        <v>376</v>
      </c>
      <c r="AF156" s="78" t="s">
        <v>376</v>
      </c>
    </row>
    <row r="157" spans="4:32" x14ac:dyDescent="0.3">
      <c r="D157" s="2" t="s">
        <v>399</v>
      </c>
      <c r="E157" s="37" cm="1">
        <f t="array" aca="1" ref="E157" ca="1">INDIRECT("'" &amp; D157 &amp; "'!$e$59")</f>
        <v>6</v>
      </c>
      <c r="F157" s="37" cm="1">
        <f t="array" aca="1" ref="F157" ca="1">INDIRECT("'" &amp; D157 &amp; "'!$f$59")</f>
        <v>6</v>
      </c>
      <c r="H157" t="s">
        <v>317</v>
      </c>
      <c r="I157">
        <f ca="1">[1]!MAD(E138:E158)</f>
        <v>0</v>
      </c>
      <c r="N157" t="s">
        <v>317</v>
      </c>
      <c r="O157">
        <f ca="1">[1]!MAD(F138:F158)</f>
        <v>0</v>
      </c>
    </row>
    <row r="158" spans="4:32" x14ac:dyDescent="0.3">
      <c r="D158" s="2" t="s">
        <v>400</v>
      </c>
      <c r="E158" s="37" cm="1">
        <f t="array" aca="1" ref="E158" ca="1">INDIRECT("'" &amp; D158 &amp; "'!$e$59")</f>
        <v>7</v>
      </c>
      <c r="F158" s="37" cm="1">
        <f t="array" aca="1" ref="F158" ca="1">INDIRECT("'" &amp; D158 &amp; "'!$f$59")</f>
        <v>7</v>
      </c>
      <c r="H158" s="63" t="s">
        <v>318</v>
      </c>
      <c r="I158" s="63">
        <f ca="1">[1]!IQR(E138:E158,FALSE)</f>
        <v>1</v>
      </c>
      <c r="N158" s="63" t="s">
        <v>318</v>
      </c>
      <c r="O158" s="63">
        <f ca="1">[1]!IQR(F138:F158,FALSE)</f>
        <v>1</v>
      </c>
    </row>
    <row r="162" spans="4:32" x14ac:dyDescent="0.3">
      <c r="D162" s="2"/>
      <c r="E162" s="58" t="s">
        <v>101</v>
      </c>
      <c r="F162" s="2"/>
    </row>
    <row r="163" spans="4:32" x14ac:dyDescent="0.3">
      <c r="D163" s="2"/>
      <c r="E163" s="2"/>
      <c r="F163" s="2"/>
    </row>
    <row r="164" spans="4:32" x14ac:dyDescent="0.3">
      <c r="D164" s="2" t="s">
        <v>285</v>
      </c>
      <c r="E164" s="37" cm="1">
        <f t="array" aca="1" ref="E164" ca="1">INDIRECT("'" &amp; D164 &amp; "'!$e$60")</f>
        <v>2</v>
      </c>
      <c r="F164" s="37"/>
      <c r="H164" t="s">
        <v>300</v>
      </c>
      <c r="K164" t="s">
        <v>331</v>
      </c>
    </row>
    <row r="165" spans="4:32" x14ac:dyDescent="0.3">
      <c r="D165" s="2" t="s">
        <v>286</v>
      </c>
      <c r="E165" s="37" cm="1">
        <f t="array" aca="1" ref="E165" ca="1">INDIRECT("'" &amp; D165 &amp; "'!$e$60")</f>
        <v>6</v>
      </c>
      <c r="F165" s="37"/>
    </row>
    <row r="166" spans="4:32" x14ac:dyDescent="0.3">
      <c r="D166" s="2" t="s">
        <v>287</v>
      </c>
      <c r="E166" s="37" cm="1">
        <f t="array" aca="1" ref="E166" ca="1">INDIRECT("'" &amp; D166 &amp; "'!$e$60")</f>
        <v>5</v>
      </c>
      <c r="F166" s="37"/>
      <c r="H166" s="64"/>
      <c r="I166" s="64" t="s">
        <v>379</v>
      </c>
      <c r="K166" s="64"/>
      <c r="L166" s="64" t="s">
        <v>379</v>
      </c>
      <c r="N166" s="79"/>
      <c r="O166" s="96"/>
      <c r="Q166" s="79"/>
      <c r="R166" s="96"/>
      <c r="T166" s="79"/>
      <c r="U166" s="96"/>
    </row>
    <row r="167" spans="4:32" x14ac:dyDescent="0.3">
      <c r="D167" s="2" t="s">
        <v>288</v>
      </c>
      <c r="E167" s="37" cm="1">
        <f t="array" aca="1" ref="E167" ca="1">INDIRECT("'" &amp; D167 &amp; "'!$e$60")</f>
        <v>6</v>
      </c>
      <c r="F167" s="37"/>
      <c r="H167" t="s">
        <v>301</v>
      </c>
      <c r="I167" s="65">
        <f ca="1">AVERAGE(E164:E184)</f>
        <v>5.1904761904761907</v>
      </c>
      <c r="K167" t="s">
        <v>332</v>
      </c>
      <c r="L167">
        <f ca="1">[1]!SHAPIRO(E164:E184)</f>
        <v>0.65730746621419067</v>
      </c>
      <c r="O167" s="65"/>
      <c r="T167" s="79"/>
      <c r="U167" s="79"/>
      <c r="V167" s="79"/>
      <c r="W167" s="79"/>
      <c r="X167" s="79"/>
      <c r="Y167" s="79"/>
      <c r="Z167" s="79"/>
      <c r="AA167" s="79"/>
      <c r="AB167" s="79"/>
      <c r="AE167" s="65"/>
      <c r="AF167" s="65"/>
    </row>
    <row r="168" spans="4:32" x14ac:dyDescent="0.3">
      <c r="D168" s="2" t="s">
        <v>289</v>
      </c>
      <c r="E168" s="37" cm="1">
        <f t="array" aca="1" ref="E168" ca="1">INDIRECT("'" &amp; D168 &amp; "'!$e$60")</f>
        <v>6</v>
      </c>
      <c r="F168" s="37"/>
      <c r="H168" t="s">
        <v>302</v>
      </c>
      <c r="I168">
        <f ca="1">_xlfn.STDEV.S(E164:E184)/SQRT(COUNT(E164:E184))</f>
        <v>0.2813153426236556</v>
      </c>
      <c r="K168" t="s">
        <v>333</v>
      </c>
      <c r="L168">
        <f ca="1">[1]!SWTEST(E164:E184)</f>
        <v>8.4625579293007291E-6</v>
      </c>
      <c r="V168" s="65"/>
    </row>
    <row r="169" spans="4:32" x14ac:dyDescent="0.3">
      <c r="D169" s="2" t="s">
        <v>290</v>
      </c>
      <c r="E169" s="37" cm="1">
        <f t="array" aca="1" ref="E169" ca="1">INDIRECT("'" &amp; D169 &amp; "'!$e$60")</f>
        <v>6</v>
      </c>
      <c r="F169" s="37"/>
      <c r="H169" t="s">
        <v>303</v>
      </c>
      <c r="I169" s="65">
        <f ca="1">MEDIAN(E164:E184)</f>
        <v>6</v>
      </c>
      <c r="K169" t="s">
        <v>334</v>
      </c>
      <c r="L169">
        <v>0.05</v>
      </c>
      <c r="O169" s="65"/>
      <c r="V169" s="65"/>
    </row>
    <row r="170" spans="4:32" x14ac:dyDescent="0.3">
      <c r="D170" s="2" t="s">
        <v>291</v>
      </c>
      <c r="E170" s="37" cm="1">
        <f t="array" aca="1" ref="E170" ca="1">INDIRECT("'" &amp; D170 &amp; "'!$e$60")</f>
        <v>5</v>
      </c>
      <c r="F170" s="37"/>
      <c r="H170" t="s">
        <v>304</v>
      </c>
      <c r="I170">
        <f ca="1">MODE(E164:E184)</f>
        <v>6</v>
      </c>
      <c r="K170" s="63" t="s">
        <v>335</v>
      </c>
      <c r="L170" s="66" t="str">
        <f ca="1">IF(L168&lt;L169,"no","yes")</f>
        <v>no</v>
      </c>
      <c r="R170" s="80"/>
      <c r="U170" s="80"/>
      <c r="V170" s="65"/>
    </row>
    <row r="171" spans="4:32" x14ac:dyDescent="0.3">
      <c r="D171" s="2" t="s">
        <v>292</v>
      </c>
      <c r="E171" s="37" cm="1">
        <f t="array" aca="1" ref="E171" ca="1">INDIRECT("'" &amp; D171 &amp; "'!$e$60")</f>
        <v>6</v>
      </c>
      <c r="F171" s="37"/>
      <c r="H171" t="s">
        <v>305</v>
      </c>
      <c r="I171">
        <f ca="1">_xlfn.STDEV.S(E164:E184)</f>
        <v>1.2891488517253387</v>
      </c>
    </row>
    <row r="172" spans="4:32" x14ac:dyDescent="0.3">
      <c r="D172" s="2" t="s">
        <v>293</v>
      </c>
      <c r="E172" s="37" cm="1">
        <f t="array" aca="1" ref="E172" ca="1">INDIRECT("'" &amp; D172 &amp; "'!$e$60")</f>
        <v>6</v>
      </c>
      <c r="F172" s="37"/>
      <c r="H172" t="s">
        <v>306</v>
      </c>
      <c r="I172">
        <f ca="1">_xlfn.VAR.S(E164:E184)</f>
        <v>1.6619047619047591</v>
      </c>
      <c r="K172" t="s">
        <v>336</v>
      </c>
      <c r="R172" s="65"/>
    </row>
    <row r="173" spans="4:32" x14ac:dyDescent="0.3">
      <c r="D173" s="2" t="s">
        <v>294</v>
      </c>
      <c r="E173" s="37" cm="1">
        <f t="array" aca="1" ref="E173" ca="1">INDIRECT("'" &amp; D173 &amp; "'!$e$60")</f>
        <v>6</v>
      </c>
      <c r="F173" s="37"/>
      <c r="H173" t="s">
        <v>307</v>
      </c>
      <c r="I173">
        <f ca="1">KURT(E164:E184)</f>
        <v>2.2483481468262121</v>
      </c>
      <c r="T173" s="79"/>
      <c r="U173" s="79"/>
      <c r="V173" s="79"/>
      <c r="W173" s="79"/>
      <c r="X173" s="79"/>
      <c r="Y173" s="79"/>
    </row>
    <row r="174" spans="4:32" x14ac:dyDescent="0.3">
      <c r="D174" s="2" t="s">
        <v>295</v>
      </c>
      <c r="E174" s="37" cm="1">
        <f t="array" aca="1" ref="E174" ca="1">INDIRECT("'" &amp; D174 &amp; "'!$e$60")</f>
        <v>6</v>
      </c>
      <c r="F174" s="37"/>
      <c r="H174" t="s">
        <v>308</v>
      </c>
      <c r="I174">
        <f ca="1">SKEW(E164:E184)</f>
        <v>-1.7833859247357704</v>
      </c>
      <c r="K174" s="85" t="s">
        <v>337</v>
      </c>
      <c r="L174" s="85">
        <f ca="1">[1]!DAGOSTINO(E164:E184)</f>
        <v>13.304287688565173</v>
      </c>
      <c r="Y174" s="70"/>
    </row>
    <row r="175" spans="4:32" x14ac:dyDescent="0.3">
      <c r="D175" s="2" t="s">
        <v>296</v>
      </c>
      <c r="E175" s="37" cm="1">
        <f t="array" aca="1" ref="E175" ca="1">INDIRECT("'" &amp; D175 &amp; "'!$e$60")</f>
        <v>6</v>
      </c>
      <c r="F175" s="37"/>
      <c r="H175" t="s">
        <v>309</v>
      </c>
      <c r="I175" s="65">
        <f ca="1">I176-I177</f>
        <v>4</v>
      </c>
      <c r="K175" t="s">
        <v>333</v>
      </c>
      <c r="L175">
        <f ca="1">[1]!DPTEST(E164:E184)</f>
        <v>1.2912508951565815E-3</v>
      </c>
      <c r="O175" s="65"/>
      <c r="Y175" s="70"/>
      <c r="AE175" s="70"/>
      <c r="AF175" s="70"/>
    </row>
    <row r="176" spans="4:32" x14ac:dyDescent="0.3">
      <c r="D176" s="2" t="s">
        <v>297</v>
      </c>
      <c r="E176" s="37" cm="1">
        <f t="array" aca="1" ref="E176" ca="1">INDIRECT("'" &amp; D176 &amp; "'!$e$60")</f>
        <v>5</v>
      </c>
      <c r="F176" s="37"/>
      <c r="H176" t="s">
        <v>310</v>
      </c>
      <c r="I176" s="65">
        <f ca="1">MAX(E164:E184)</f>
        <v>6</v>
      </c>
      <c r="K176" t="s">
        <v>334</v>
      </c>
      <c r="L176">
        <v>0.05</v>
      </c>
      <c r="O176" s="65"/>
      <c r="R176" s="65"/>
    </row>
    <row r="177" spans="4:21" x14ac:dyDescent="0.3">
      <c r="D177" s="2" t="s">
        <v>298</v>
      </c>
      <c r="E177" s="37" cm="1">
        <f t="array" aca="1" ref="E177" ca="1">INDIRECT("'" &amp; D177 &amp; "'!$e$60")</f>
        <v>2</v>
      </c>
      <c r="F177" s="37"/>
      <c r="H177" t="s">
        <v>311</v>
      </c>
      <c r="I177" s="65">
        <f ca="1">MIN(E164:E184)</f>
        <v>2</v>
      </c>
      <c r="K177" s="63" t="s">
        <v>335</v>
      </c>
      <c r="L177" s="66" t="str">
        <f ca="1">IF(L175&lt;L176,"no","yes")</f>
        <v>no</v>
      </c>
      <c r="O177" s="65"/>
      <c r="R177" s="80"/>
      <c r="U177" s="80"/>
    </row>
    <row r="178" spans="4:21" x14ac:dyDescent="0.3">
      <c r="D178" s="2" t="s">
        <v>299</v>
      </c>
      <c r="E178" s="37" cm="1">
        <f t="array" aca="1" ref="E178" ca="1">INDIRECT("'" &amp; D178 &amp; "'!$e$60")</f>
        <v>3</v>
      </c>
      <c r="F178" s="37"/>
      <c r="H178" t="s">
        <v>312</v>
      </c>
      <c r="I178" s="65">
        <f ca="1">SUM(E164:E184)</f>
        <v>109</v>
      </c>
      <c r="O178" s="65"/>
    </row>
    <row r="179" spans="4:21" x14ac:dyDescent="0.3">
      <c r="D179" s="2" t="s">
        <v>395</v>
      </c>
      <c r="E179" s="37" cm="1">
        <f t="array" aca="1" ref="E179" ca="1">INDIRECT("'" &amp; D179 &amp; "'!$e$60")</f>
        <v>5</v>
      </c>
      <c r="F179" s="37"/>
      <c r="H179" t="s">
        <v>313</v>
      </c>
      <c r="I179">
        <f ca="1">COUNT(E164:E184)</f>
        <v>21</v>
      </c>
      <c r="R179" s="65"/>
    </row>
    <row r="180" spans="4:21" x14ac:dyDescent="0.3">
      <c r="D180" s="2" t="s">
        <v>396</v>
      </c>
      <c r="E180" s="37" cm="1">
        <f t="array" aca="1" ref="E180" ca="1">INDIRECT("'" &amp; D180 &amp; "'!$e$60")</f>
        <v>6</v>
      </c>
      <c r="F180" s="37"/>
      <c r="H180" t="s">
        <v>314</v>
      </c>
      <c r="I180">
        <f ca="1">GEOMEAN(E164:E184)</f>
        <v>4.9631014888144227</v>
      </c>
    </row>
    <row r="181" spans="4:21" x14ac:dyDescent="0.3">
      <c r="D181" s="2" t="s">
        <v>397</v>
      </c>
      <c r="E181" s="37" cm="1">
        <f t="array" aca="1" ref="E181" ca="1">INDIRECT("'" &amp; D181 &amp; "'!$e$60")</f>
        <v>6</v>
      </c>
      <c r="F181" s="37"/>
      <c r="H181" t="s">
        <v>315</v>
      </c>
      <c r="I181">
        <f ca="1">HARMEAN(E164:E184)</f>
        <v>4.6323529411764701</v>
      </c>
    </row>
    <row r="182" spans="4:21" x14ac:dyDescent="0.3">
      <c r="D182" s="2" t="s">
        <v>398</v>
      </c>
      <c r="E182" s="37" cm="1">
        <f t="array" aca="1" ref="E182" ca="1">INDIRECT("'" &amp; D182 &amp; "'!$e$60")</f>
        <v>5</v>
      </c>
      <c r="F182" s="37"/>
      <c r="H182" t="s">
        <v>316</v>
      </c>
      <c r="I182">
        <f ca="1">AVEDEV(E164:E184)</f>
        <v>0.9251700680272108</v>
      </c>
    </row>
    <row r="183" spans="4:21" x14ac:dyDescent="0.3">
      <c r="D183" s="2" t="s">
        <v>399</v>
      </c>
      <c r="E183" s="37" cm="1">
        <f t="array" aca="1" ref="E183" ca="1">INDIRECT("'" &amp; D183 &amp; "'!$e$60")</f>
        <v>6</v>
      </c>
      <c r="F183" s="37"/>
      <c r="H183" t="s">
        <v>317</v>
      </c>
      <c r="I183">
        <f ca="1">[1]!MAD(E164:E184)</f>
        <v>0</v>
      </c>
    </row>
    <row r="184" spans="4:21" x14ac:dyDescent="0.3">
      <c r="D184" s="2" t="s">
        <v>400</v>
      </c>
      <c r="E184" s="37" cm="1">
        <f t="array" aca="1" ref="E184" ca="1">INDIRECT("'" &amp; D184 &amp; "'!$e$60")</f>
        <v>5</v>
      </c>
      <c r="F184" s="37"/>
      <c r="H184" s="63" t="s">
        <v>318</v>
      </c>
      <c r="I184" s="63">
        <f ca="1">[1]!IQR(E164:E184,FALSE)</f>
        <v>1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791C-AD15-45D9-8D8D-208A64858CCD}">
  <sheetPr>
    <tabColor theme="7" tint="0.59999389629810485"/>
  </sheetPr>
  <dimension ref="C4:AE184"/>
  <sheetViews>
    <sheetView showGridLines="0" zoomScale="48" zoomScaleNormal="70" workbookViewId="0">
      <selection activeCell="AJ31" sqref="AJ31"/>
    </sheetView>
  </sheetViews>
  <sheetFormatPr defaultRowHeight="14.4" x14ac:dyDescent="0.3"/>
  <sheetData>
    <row r="4" spans="3:31" x14ac:dyDescent="0.3">
      <c r="C4" s="2"/>
      <c r="D4" s="59" t="s">
        <v>103</v>
      </c>
      <c r="E4" s="2"/>
    </row>
    <row r="5" spans="3:31" x14ac:dyDescent="0.3">
      <c r="C5" s="2"/>
      <c r="D5" s="2" t="s">
        <v>430</v>
      </c>
      <c r="E5" s="2" t="s">
        <v>431</v>
      </c>
    </row>
    <row r="6" spans="3:31" x14ac:dyDescent="0.3">
      <c r="C6" s="2" t="s">
        <v>285</v>
      </c>
      <c r="D6" s="37" cm="1">
        <f t="array" aca="1" ref="D6" ca="1">INDIRECT("'" &amp; C6 &amp; "'!$L$68")</f>
        <v>5</v>
      </c>
      <c r="E6" s="37" cm="1">
        <f t="array" aca="1" ref="E6" ca="1">INDIRECT("'" &amp; C6 &amp; "'!$M$68")</f>
        <v>5.333333333333333</v>
      </c>
      <c r="G6" t="s">
        <v>300</v>
      </c>
      <c r="J6" t="s">
        <v>331</v>
      </c>
      <c r="M6" t="s">
        <v>300</v>
      </c>
      <c r="P6" t="s">
        <v>331</v>
      </c>
      <c r="Q6" s="87"/>
      <c r="S6" t="s">
        <v>338</v>
      </c>
      <c r="AC6" t="s">
        <v>358</v>
      </c>
    </row>
    <row r="7" spans="3:31" x14ac:dyDescent="0.3">
      <c r="C7" s="2" t="s">
        <v>286</v>
      </c>
      <c r="D7" s="37" cm="1">
        <f t="array" aca="1" ref="D7" ca="1">INDIRECT("'" &amp; C7 &amp; "'!$L$68")</f>
        <v>5.333333333333333</v>
      </c>
      <c r="E7" s="37" cm="1">
        <f t="array" aca="1" ref="E7" ca="1">INDIRECT("'" &amp; C7 &amp; "'!$M$68")</f>
        <v>5.666666666666667</v>
      </c>
    </row>
    <row r="8" spans="3:31" ht="15" thickBot="1" x14ac:dyDescent="0.35">
      <c r="C8" s="2" t="s">
        <v>287</v>
      </c>
      <c r="D8" s="37" cm="1">
        <f t="array" aca="1" ref="D8" ca="1">INDIRECT("'" &amp; C8 &amp; "'!$L$68")</f>
        <v>5.666666666666667</v>
      </c>
      <c r="E8" s="37" cm="1">
        <f t="array" aca="1" ref="E8" ca="1">INDIRECT("'" &amp; C8 &amp; "'!$M$68")</f>
        <v>6</v>
      </c>
      <c r="G8" s="64"/>
      <c r="H8" s="64" t="s">
        <v>379</v>
      </c>
      <c r="J8" s="64"/>
      <c r="K8" s="64" t="s">
        <v>379</v>
      </c>
      <c r="M8" s="64"/>
      <c r="N8" s="86" t="s">
        <v>379</v>
      </c>
      <c r="P8" s="92"/>
      <c r="Q8" s="91" t="s">
        <v>379</v>
      </c>
      <c r="S8" s="79" t="s">
        <v>339</v>
      </c>
      <c r="T8" s="96"/>
      <c r="V8" t="s">
        <v>340</v>
      </c>
      <c r="W8">
        <v>0.05</v>
      </c>
      <c r="Y8" t="s">
        <v>341</v>
      </c>
      <c r="Z8">
        <v>0</v>
      </c>
      <c r="AD8" t="s">
        <v>381</v>
      </c>
      <c r="AE8" t="s">
        <v>382</v>
      </c>
    </row>
    <row r="9" spans="3:31" ht="15" thickTop="1" x14ac:dyDescent="0.3">
      <c r="C9" s="2" t="s">
        <v>288</v>
      </c>
      <c r="D9" s="37" cm="1">
        <f t="array" aca="1" ref="D9" ca="1">INDIRECT("'" &amp; C9 &amp; "'!$L$68")</f>
        <v>2</v>
      </c>
      <c r="E9" s="37" cm="1">
        <f t="array" aca="1" ref="E9" ca="1">INDIRECT("'" &amp; C9 &amp; "'!$M$68")</f>
        <v>2.6666666666666665</v>
      </c>
      <c r="G9" t="s">
        <v>301</v>
      </c>
      <c r="H9" s="65">
        <f ca="1">AVERAGE(D6:D26)</f>
        <v>4.6984126984126977</v>
      </c>
      <c r="J9" t="s">
        <v>332</v>
      </c>
      <c r="K9">
        <f ca="1">[1]!SHAPIRO(D6:D26)</f>
        <v>0.9096161926640326</v>
      </c>
      <c r="M9" t="s">
        <v>301</v>
      </c>
      <c r="N9" s="65">
        <f ca="1">AVERAGE(E6:E26)</f>
        <v>5.2857142857142847</v>
      </c>
      <c r="P9" t="s">
        <v>332</v>
      </c>
      <c r="Q9" s="74">
        <f ca="1">[1]!SHAPIRO(E6:E26)</f>
        <v>0.91455222591465213</v>
      </c>
      <c r="S9" s="97" t="s">
        <v>342</v>
      </c>
      <c r="T9" s="97" t="s">
        <v>313</v>
      </c>
      <c r="U9" s="97" t="s">
        <v>301</v>
      </c>
      <c r="V9" s="97" t="s">
        <v>343</v>
      </c>
      <c r="W9" s="97" t="s">
        <v>344</v>
      </c>
      <c r="X9" s="97" t="s">
        <v>345</v>
      </c>
      <c r="Y9" s="97" t="s">
        <v>346</v>
      </c>
      <c r="Z9" s="97" t="s">
        <v>347</v>
      </c>
      <c r="AA9" s="97" t="s">
        <v>348</v>
      </c>
      <c r="AC9" t="s">
        <v>359</v>
      </c>
      <c r="AD9" s="102">
        <f ca="1">MEDIAN(D6:D26)</f>
        <v>5.333333333333333</v>
      </c>
      <c r="AE9" s="103">
        <f ca="1">MEDIAN(E6:E26)</f>
        <v>5.333333333333333</v>
      </c>
    </row>
    <row r="10" spans="3:31" x14ac:dyDescent="0.3">
      <c r="C10" s="2" t="s">
        <v>289</v>
      </c>
      <c r="D10" s="37" cm="1">
        <f t="array" aca="1" ref="D10" ca="1">INDIRECT("'" &amp; C10 &amp; "'!$L$68")</f>
        <v>5.666666666666667</v>
      </c>
      <c r="E10" s="37" cm="1">
        <f t="array" aca="1" ref="E10" ca="1">INDIRECT("'" &amp; C10 &amp; "'!$M$68")</f>
        <v>6</v>
      </c>
      <c r="G10" t="s">
        <v>302</v>
      </c>
      <c r="H10">
        <f ca="1">_xlfn.STDEV.S(D6:D26)/SQRT(COUNT(D6:D26))</f>
        <v>0.3102352426300331</v>
      </c>
      <c r="J10" t="s">
        <v>333</v>
      </c>
      <c r="K10">
        <f ca="1">[1]!SWTEST(D6:D26)</f>
        <v>5.3960986422164181E-2</v>
      </c>
      <c r="M10" t="s">
        <v>302</v>
      </c>
      <c r="N10">
        <f ca="1">_xlfn.STDEV.S(E6:E26)/SQRT(COUNT(E6:E26))</f>
        <v>0.2734124104405613</v>
      </c>
      <c r="P10" t="s">
        <v>333</v>
      </c>
      <c r="Q10" s="74">
        <f ca="1">[1]!SWTEST(E6:E26)</f>
        <v>6.7578980336518213E-2</v>
      </c>
      <c r="S10" t="s">
        <v>379</v>
      </c>
      <c r="T10">
        <f ca="1">COUNT(D6:D26)</f>
        <v>21</v>
      </c>
      <c r="U10" s="65">
        <f ca="1">AVERAGE(D6:D26)</f>
        <v>4.6984126984126977</v>
      </c>
      <c r="V10">
        <f ca="1">_xlfn.STDEV.S(D6:D26)</f>
        <v>1.4216764825951176</v>
      </c>
    </row>
    <row r="11" spans="3:31" x14ac:dyDescent="0.3">
      <c r="C11" s="2" t="s">
        <v>290</v>
      </c>
      <c r="D11" s="37" cm="1">
        <f t="array" aca="1" ref="D11" ca="1">INDIRECT("'" &amp; C11 &amp; "'!$L$68")</f>
        <v>5.333333333333333</v>
      </c>
      <c r="E11" s="37" cm="1">
        <f t="array" aca="1" ref="E11" ca="1">INDIRECT("'" &amp; C11 &amp; "'!$M$68")</f>
        <v>5.666666666666667</v>
      </c>
      <c r="G11" t="s">
        <v>303</v>
      </c>
      <c r="H11" s="65">
        <f ca="1">MEDIAN(D6:D26)</f>
        <v>5.333333333333333</v>
      </c>
      <c r="J11" t="s">
        <v>334</v>
      </c>
      <c r="K11">
        <v>0.05</v>
      </c>
      <c r="M11" t="s">
        <v>303</v>
      </c>
      <c r="N11" s="65">
        <f ca="1">MEDIAN(E6:E26)</f>
        <v>5.333333333333333</v>
      </c>
      <c r="P11" t="s">
        <v>334</v>
      </c>
      <c r="Q11" s="74">
        <v>0.05</v>
      </c>
      <c r="S11" t="s">
        <v>380</v>
      </c>
      <c r="T11">
        <f ca="1">COUNT(E6:E26)</f>
        <v>21</v>
      </c>
      <c r="U11" s="65">
        <f ca="1">AVERAGE(E6:E26)</f>
        <v>5.2857142857142847</v>
      </c>
      <c r="V11">
        <f ca="1">_xlfn.STDEV.S(E6:E26)</f>
        <v>1.2529330667842065</v>
      </c>
      <c r="AC11" t="s">
        <v>360</v>
      </c>
      <c r="AD11" s="88">
        <f ca="1">SUMPRODUCT(--ISNUMBER(D6:D26),--ISNUMBER(E6:E26))</f>
        <v>21</v>
      </c>
    </row>
    <row r="12" spans="3:31" x14ac:dyDescent="0.3">
      <c r="C12" s="2" t="s">
        <v>291</v>
      </c>
      <c r="D12" s="37" cm="1">
        <f t="array" aca="1" ref="D12" ca="1">INDIRECT("'" &amp; C12 &amp; "'!$L$68")</f>
        <v>6.666666666666667</v>
      </c>
      <c r="E12" s="37" cm="1">
        <f t="array" aca="1" ref="E12" ca="1">INDIRECT("'" &amp; C12 &amp; "'!$M$68")</f>
        <v>7</v>
      </c>
      <c r="G12" t="s">
        <v>304</v>
      </c>
      <c r="H12">
        <f ca="1">MODE(D6:D26)</f>
        <v>5.333333333333333</v>
      </c>
      <c r="J12" s="63" t="s">
        <v>335</v>
      </c>
      <c r="K12" s="66" t="str">
        <f ca="1">IF(K10&lt;K11,"no","yes")</f>
        <v>yes</v>
      </c>
      <c r="M12" t="s">
        <v>304</v>
      </c>
      <c r="N12">
        <f ca="1">MODE(E6:E26)</f>
        <v>5.333333333333333</v>
      </c>
      <c r="P12" s="63" t="s">
        <v>335</v>
      </c>
      <c r="Q12" s="93" t="str">
        <f ca="1">IF(Q10&lt;Q11,"no","yes")</f>
        <v>yes</v>
      </c>
      <c r="S12" s="98" t="s">
        <v>349</v>
      </c>
      <c r="T12" s="99">
        <f ca="1">T11</f>
        <v>21</v>
      </c>
      <c r="U12" s="100">
        <f ca="1">U10-U11</f>
        <v>-0.58730158730158699</v>
      </c>
      <c r="V12" s="85">
        <f t="array" aca="1" ref="V12" ca="1">_xlfn.STDEV.S(D6:D26-E6:E26)</f>
        <v>0.52604142110633889</v>
      </c>
      <c r="W12" s="85">
        <f ca="1">V12/SQRT(T12)</f>
        <v>0.11479164909056851</v>
      </c>
      <c r="X12" s="85">
        <f ca="1">(U10-U11-Z8)/W12</f>
        <v>-5.1162396564075561</v>
      </c>
      <c r="Y12" s="85">
        <f ca="1">T12-1</f>
        <v>20</v>
      </c>
      <c r="Z12" s="85">
        <f ca="1">ABS(U10-U11-Z8)/V12</f>
        <v>1.1164550237629756</v>
      </c>
      <c r="AA12" s="85">
        <f ca="1">SQRT(X12^2/(X12^2+Y12))</f>
        <v>0.75291015798974359</v>
      </c>
      <c r="AC12" t="s">
        <v>361</v>
      </c>
      <c r="AD12" s="74">
        <f ca="1">SUMPRODUCT(--ISNUMBER(D6:D26),--ISNUMBER(E6:E26),--(D6:D26&lt;&gt;E6:E26))</f>
        <v>18</v>
      </c>
    </row>
    <row r="13" spans="3:31" x14ac:dyDescent="0.3">
      <c r="C13" s="2" t="s">
        <v>292</v>
      </c>
      <c r="D13" s="37" cm="1">
        <f t="array" aca="1" ref="D13" ca="1">INDIRECT("'" &amp; C13 &amp; "'!$L$68")</f>
        <v>3</v>
      </c>
      <c r="E13" s="37" cm="1">
        <f t="array" aca="1" ref="E13" ca="1">INDIRECT("'" &amp; C13 &amp; "'!$M$68")</f>
        <v>3.3333333333333335</v>
      </c>
      <c r="G13" t="s">
        <v>305</v>
      </c>
      <c r="H13">
        <f ca="1">_xlfn.STDEV.S(D6:D26)</f>
        <v>1.4216764825951176</v>
      </c>
      <c r="M13" t="s">
        <v>305</v>
      </c>
      <c r="N13">
        <f ca="1">_xlfn.STDEV.S(E6:E26)</f>
        <v>1.2529330667842065</v>
      </c>
      <c r="Q13" s="74"/>
      <c r="AC13" t="s">
        <v>362</v>
      </c>
      <c r="AD13" s="74">
        <f ca="1">IF(AD15&lt;=AD18,AD15,AD12*(AD12+1)/2)</f>
        <v>0</v>
      </c>
    </row>
    <row r="14" spans="3:31" ht="15" thickBot="1" x14ac:dyDescent="0.35">
      <c r="C14" s="2" t="s">
        <v>293</v>
      </c>
      <c r="D14" s="37" cm="1">
        <f t="array" aca="1" ref="D14" ca="1">INDIRECT("'" &amp; C14 &amp; "'!$L$68")</f>
        <v>6.666666666666667</v>
      </c>
      <c r="E14" s="37" cm="1">
        <f t="array" aca="1" ref="E14" ca="1">INDIRECT("'" &amp; C14 &amp; "'!$M$68")</f>
        <v>7</v>
      </c>
      <c r="G14" t="s">
        <v>306</v>
      </c>
      <c r="H14">
        <f ca="1">_xlfn.VAR.S(D6:D26)</f>
        <v>2.0211640211640258</v>
      </c>
      <c r="J14" t="s">
        <v>336</v>
      </c>
      <c r="M14" t="s">
        <v>306</v>
      </c>
      <c r="N14">
        <f ca="1">_xlfn.VAR.S(E6:E26)</f>
        <v>1.5698412698412767</v>
      </c>
      <c r="P14" t="s">
        <v>336</v>
      </c>
      <c r="Q14" s="90"/>
      <c r="S14" t="s">
        <v>350</v>
      </c>
      <c r="AC14" t="s">
        <v>363</v>
      </c>
      <c r="AD14" s="74">
        <f ca="1">AD12*(AD12+1)/2-AD13</f>
        <v>171</v>
      </c>
    </row>
    <row r="15" spans="3:31" ht="15" thickTop="1" x14ac:dyDescent="0.3">
      <c r="C15" s="2" t="s">
        <v>294</v>
      </c>
      <c r="D15" s="37" cm="1">
        <f t="array" aca="1" ref="D15" ca="1">INDIRECT("'" &amp; C15 &amp; "'!$L$68")</f>
        <v>5.333333333333333</v>
      </c>
      <c r="E15" s="37" cm="1">
        <f t="array" aca="1" ref="E15" ca="1">INDIRECT("'" &amp; C15 &amp; "'!$M$68")</f>
        <v>6.333333333333333</v>
      </c>
      <c r="G15" t="s">
        <v>307</v>
      </c>
      <c r="H15">
        <f ca="1">KURT(D6:D26)</f>
        <v>-0.52278302043313207</v>
      </c>
      <c r="M15" t="s">
        <v>307</v>
      </c>
      <c r="N15">
        <f ca="1">KURT(E6:E26)</f>
        <v>0.13880623996991304</v>
      </c>
      <c r="S15" s="101" t="s">
        <v>351</v>
      </c>
      <c r="T15" s="101" t="s">
        <v>333</v>
      </c>
      <c r="U15" s="101" t="s">
        <v>352</v>
      </c>
      <c r="V15" s="101" t="s">
        <v>353</v>
      </c>
      <c r="W15" s="101" t="s">
        <v>354</v>
      </c>
      <c r="X15" s="101" t="s">
        <v>355</v>
      </c>
      <c r="AC15" t="s">
        <v>364</v>
      </c>
      <c r="AD15" s="75">
        <f ca="1">[1]!SRANK(D6:D26,E6:E26)</f>
        <v>0</v>
      </c>
    </row>
    <row r="16" spans="3:31" x14ac:dyDescent="0.3">
      <c r="C16" s="2" t="s">
        <v>295</v>
      </c>
      <c r="D16" s="37" cm="1">
        <f t="array" aca="1" ref="D16" ca="1">INDIRECT("'" &amp; C16 &amp; "'!$L$68")</f>
        <v>6.333333333333333</v>
      </c>
      <c r="E16" s="37" cm="1">
        <f t="array" aca="1" ref="E16" ca="1">INDIRECT("'" &amp; C16 &amp; "'!$M$68")</f>
        <v>6.333333333333333</v>
      </c>
      <c r="G16" t="s">
        <v>308</v>
      </c>
      <c r="H16">
        <f ca="1">SKEW(D6:D26)</f>
        <v>-0.65814943683074589</v>
      </c>
      <c r="J16" s="85" t="s">
        <v>337</v>
      </c>
      <c r="K16" s="85">
        <f ca="1">[1]!DAGOSTINO(D6:D26)</f>
        <v>2.0121513004255971</v>
      </c>
      <c r="M16" t="s">
        <v>308</v>
      </c>
      <c r="N16">
        <f ca="1">SKEW(E6:E26)</f>
        <v>-0.83856239337506833</v>
      </c>
      <c r="P16" s="94" t="s">
        <v>337</v>
      </c>
      <c r="Q16" s="95">
        <f ca="1">[1]!DAGOSTINO(E6:E26)</f>
        <v>2.9762136643128314</v>
      </c>
      <c r="S16" t="s">
        <v>356</v>
      </c>
      <c r="T16">
        <f ca="1">_xlfn.T.DIST.RT(ABS(X12),Y12)</f>
        <v>2.6322379129715825E-5</v>
      </c>
      <c r="U16">
        <f ca="1">_xlfn.T.INV.2T(W8*2,Y12)</f>
        <v>1.7247182429207868</v>
      </c>
      <c r="X16" s="70" t="str">
        <f ca="1">IF(T16&lt;W8,"yes","no")</f>
        <v>yes</v>
      </c>
    </row>
    <row r="17" spans="3:31" x14ac:dyDescent="0.3">
      <c r="C17" s="2" t="s">
        <v>296</v>
      </c>
      <c r="D17" s="37" cm="1">
        <f t="array" aca="1" ref="D17" ca="1">INDIRECT("'" &amp; C17 &amp; "'!$L$68")</f>
        <v>4.666666666666667</v>
      </c>
      <c r="E17" s="37" cm="1">
        <f t="array" aca="1" ref="E17" ca="1">INDIRECT("'" &amp; C17 &amp; "'!$M$68")</f>
        <v>5.333333333333333</v>
      </c>
      <c r="G17" t="s">
        <v>309</v>
      </c>
      <c r="H17" s="65">
        <f ca="1">H18-H19</f>
        <v>4.666666666666667</v>
      </c>
      <c r="J17" t="s">
        <v>333</v>
      </c>
      <c r="K17">
        <f ca="1">[1]!DPTEST(D6:D26)</f>
        <v>0.36565111049988852</v>
      </c>
      <c r="M17" t="s">
        <v>309</v>
      </c>
      <c r="N17" s="65">
        <f ca="1">N18-N19</f>
        <v>4.3333333333333339</v>
      </c>
      <c r="P17" t="s">
        <v>333</v>
      </c>
      <c r="Q17" s="74">
        <f ca="1">[1]!DPTEST(E6:E26)</f>
        <v>0.22579972793603797</v>
      </c>
      <c r="S17" t="s">
        <v>357</v>
      </c>
      <c r="T17">
        <f ca="1">_xlfn.T.DIST.2T(ABS(X12),Y12)</f>
        <v>5.2644758259431649E-5</v>
      </c>
      <c r="U17">
        <f ca="1">_xlfn.T.INV.2T(W8,Y12)</f>
        <v>2.0859634472658648</v>
      </c>
      <c r="V17">
        <f ca="1">(U10-U11)-W12*U17</f>
        <v>-0.82675277135588277</v>
      </c>
      <c r="W17">
        <f ca="1">(U10-U11)+W12*U17</f>
        <v>-0.34785040324729122</v>
      </c>
      <c r="X17" s="70" t="str">
        <f ca="1">IF(T17&lt;W8,"yes","no")</f>
        <v>yes</v>
      </c>
      <c r="AD17" s="70" t="s">
        <v>365</v>
      </c>
      <c r="AE17" s="70" t="s">
        <v>366</v>
      </c>
    </row>
    <row r="18" spans="3:31" x14ac:dyDescent="0.3">
      <c r="C18" s="2" t="s">
        <v>297</v>
      </c>
      <c r="D18" s="37" cm="1">
        <f t="array" aca="1" ref="D18" ca="1">INDIRECT("'" &amp; C18 &amp; "'!$L$68")</f>
        <v>4</v>
      </c>
      <c r="E18" s="37" cm="1">
        <f t="array" aca="1" ref="E18" ca="1">INDIRECT("'" &amp; C18 &amp; "'!$M$68")</f>
        <v>4.666666666666667</v>
      </c>
      <c r="G18" t="s">
        <v>310</v>
      </c>
      <c r="H18" s="65">
        <f ca="1">MAX(D6:D26)</f>
        <v>6.666666666666667</v>
      </c>
      <c r="J18" t="s">
        <v>334</v>
      </c>
      <c r="K18">
        <v>0.05</v>
      </c>
      <c r="M18" t="s">
        <v>310</v>
      </c>
      <c r="N18" s="65">
        <f ca="1">MAX(E6:E26)</f>
        <v>7</v>
      </c>
      <c r="P18" t="s">
        <v>334</v>
      </c>
      <c r="Q18" s="89">
        <v>0.05</v>
      </c>
      <c r="S18" s="85"/>
      <c r="T18" s="85"/>
      <c r="U18" s="85"/>
      <c r="V18" s="85"/>
      <c r="W18" s="85"/>
      <c r="X18" s="85"/>
      <c r="AC18" t="s">
        <v>367</v>
      </c>
      <c r="AD18" s="88">
        <f ca="1">AD12*(AD12+1)/4</f>
        <v>85.5</v>
      </c>
    </row>
    <row r="19" spans="3:31" x14ac:dyDescent="0.3">
      <c r="C19" s="2" t="s">
        <v>298</v>
      </c>
      <c r="D19" s="37" cm="1">
        <f t="array" aca="1" ref="D19" ca="1">INDIRECT("'" &amp; C19 &amp; "'!$L$68")</f>
        <v>5.333333333333333</v>
      </c>
      <c r="E19" s="37" cm="1">
        <f t="array" aca="1" ref="E19" ca="1">INDIRECT("'" &amp; C19 &amp; "'!$M$68")</f>
        <v>6.333333333333333</v>
      </c>
      <c r="G19" t="s">
        <v>311</v>
      </c>
      <c r="H19" s="65">
        <f ca="1">MIN(D6:D26)</f>
        <v>2</v>
      </c>
      <c r="J19" s="63" t="s">
        <v>335</v>
      </c>
      <c r="K19" s="66" t="str">
        <f ca="1">IF(K17&lt;K18,"no","yes")</f>
        <v>yes</v>
      </c>
      <c r="M19" t="s">
        <v>311</v>
      </c>
      <c r="N19" s="65">
        <f ca="1">MIN(E6:E26)</f>
        <v>2.6666666666666665</v>
      </c>
      <c r="P19" s="63" t="s">
        <v>335</v>
      </c>
      <c r="Q19" s="93" t="str">
        <f ca="1">IF(Q17&lt;Q18,"no","yes")</f>
        <v>yes</v>
      </c>
      <c r="S19" s="63"/>
      <c r="T19" s="66"/>
      <c r="AC19" t="s">
        <v>368</v>
      </c>
      <c r="AD19" s="74">
        <f ca="1">SQRT(AD18*(2*AD12+1)/6-[1]!TiesCorrection(D6:D26,E6:E26,1)/48)</f>
        <v>22.888315796493195</v>
      </c>
      <c r="AE19" t="s">
        <v>369</v>
      </c>
    </row>
    <row r="20" spans="3:31" x14ac:dyDescent="0.3">
      <c r="C20" s="2" t="s">
        <v>299</v>
      </c>
      <c r="D20" s="37" cm="1">
        <f t="array" aca="1" ref="D20" ca="1">INDIRECT("'" &amp; C20 &amp; "'!$L$68")</f>
        <v>2</v>
      </c>
      <c r="E20" s="37" cm="1">
        <f t="array" aca="1" ref="E20" ca="1">INDIRECT("'" &amp; C20 &amp; "'!$M$68")</f>
        <v>4.333333333333333</v>
      </c>
      <c r="G20" t="s">
        <v>312</v>
      </c>
      <c r="H20" s="65">
        <f ca="1">SUM(D6:D26)</f>
        <v>98.666666666666657</v>
      </c>
      <c r="M20" t="s">
        <v>312</v>
      </c>
      <c r="N20" s="65">
        <f ca="1">SUM(E6:E26)</f>
        <v>110.99999999999999</v>
      </c>
      <c r="Q20" s="74"/>
      <c r="AC20" t="s">
        <v>370</v>
      </c>
      <c r="AD20" s="74">
        <f ca="1">ABS(ABS(AD15-AD18)-1/2)/AD19</f>
        <v>3.7136852163243557</v>
      </c>
      <c r="AE20" t="s">
        <v>371</v>
      </c>
    </row>
    <row r="21" spans="3:31" x14ac:dyDescent="0.3">
      <c r="C21" s="2" t="s">
        <v>395</v>
      </c>
      <c r="D21" s="37" cm="1">
        <f t="array" aca="1" ref="D21" ca="1">INDIRECT("'" &amp; C21 &amp; "'!$L$68")</f>
        <v>4.666666666666667</v>
      </c>
      <c r="E21" s="37" cm="1">
        <f t="array" aca="1" ref="E21" ca="1">INDIRECT("'" &amp; C21 &amp; "'!$M$68")</f>
        <v>5.333333333333333</v>
      </c>
      <c r="G21" t="s">
        <v>313</v>
      </c>
      <c r="H21">
        <f ca="1">COUNT(D6:D26)</f>
        <v>21</v>
      </c>
      <c r="M21" t="s">
        <v>313</v>
      </c>
      <c r="N21">
        <f ca="1">COUNT(E6:E26)</f>
        <v>21</v>
      </c>
      <c r="Q21" s="90"/>
      <c r="AC21" t="s">
        <v>372</v>
      </c>
      <c r="AD21" s="74">
        <f ca="1">AD20/SQRT(AD12)</f>
        <v>0.87532399988506093</v>
      </c>
    </row>
    <row r="22" spans="3:31" ht="15" thickBot="1" x14ac:dyDescent="0.35">
      <c r="C22" s="2" t="s">
        <v>396</v>
      </c>
      <c r="D22" s="37" cm="1">
        <f t="array" aca="1" ref="D22" ca="1">INDIRECT("'" &amp; C22 &amp; "'!$L$68")</f>
        <v>4.333333333333333</v>
      </c>
      <c r="E22" s="37" cm="1">
        <f t="array" aca="1" ref="E22" ca="1">INDIRECT("'" &amp; C22 &amp; "'!$M$68")</f>
        <v>5</v>
      </c>
      <c r="G22" t="s">
        <v>314</v>
      </c>
      <c r="H22">
        <f ca="1">GEOMEAN(D6:D26)</f>
        <v>4.4436629676903046</v>
      </c>
      <c r="M22" t="s">
        <v>314</v>
      </c>
      <c r="N22">
        <f ca="1">GEOMEAN(E6:E26)</f>
        <v>5.1140786175641271</v>
      </c>
      <c r="U22" s="150"/>
      <c r="V22" s="150" t="s">
        <v>301</v>
      </c>
      <c r="W22" s="151" t="s">
        <v>343</v>
      </c>
      <c r="X22" s="152" t="s">
        <v>333</v>
      </c>
      <c r="Y22" s="152" t="s">
        <v>348</v>
      </c>
      <c r="AC22" t="s">
        <v>373</v>
      </c>
      <c r="AD22" s="88">
        <f ca="1">1-_xlfn.NORM.S.DIST(AD20,TRUE)</f>
        <v>1.0213142211168424E-4</v>
      </c>
      <c r="AE22" s="104">
        <f ca="1">2*AD22</f>
        <v>2.0426284422336849E-4</v>
      </c>
    </row>
    <row r="23" spans="3:31" ht="15" thickBot="1" x14ac:dyDescent="0.35">
      <c r="C23" s="2" t="s">
        <v>397</v>
      </c>
      <c r="D23" s="37" cm="1">
        <f t="array" aca="1" ref="D23" ca="1">INDIRECT("'" &amp; C23 &amp; "'!$L$68")</f>
        <v>5.333333333333333</v>
      </c>
      <c r="E23" s="37" cm="1">
        <f t="array" aca="1" ref="E23" ca="1">INDIRECT("'" &amp; C23 &amp; "'!$M$68")</f>
        <v>5.333333333333333</v>
      </c>
      <c r="G23" t="s">
        <v>315</v>
      </c>
      <c r="H23">
        <f ca="1">HARMEAN(D6:D26)</f>
        <v>4.1372675818006357</v>
      </c>
      <c r="M23" t="s">
        <v>315</v>
      </c>
      <c r="N23">
        <f ca="1">HARMEAN(E6:E26)</f>
        <v>4.9072392524231319</v>
      </c>
      <c r="Q23" s="87"/>
      <c r="U23" s="150" t="s">
        <v>430</v>
      </c>
      <c r="V23" s="153">
        <v>4.6984126984126977</v>
      </c>
      <c r="W23" s="151">
        <v>1.4216764825951176</v>
      </c>
      <c r="X23" s="150"/>
      <c r="Y23" s="150"/>
      <c r="AC23" t="s">
        <v>374</v>
      </c>
      <c r="AD23" s="74">
        <f ca="1">[1]!SRDIST(AD15,AD12,1)</f>
        <v>3.814697265625E-6</v>
      </c>
      <c r="AE23" s="77">
        <f ca="1">2*AD23</f>
        <v>7.62939453125E-6</v>
      </c>
    </row>
    <row r="24" spans="3:31" ht="15" thickBot="1" x14ac:dyDescent="0.35">
      <c r="C24" s="2" t="s">
        <v>398</v>
      </c>
      <c r="D24" s="37" cm="1">
        <f t="array" aca="1" ref="D24" ca="1">INDIRECT("'" &amp; C24 &amp; "'!$L$68")</f>
        <v>3</v>
      </c>
      <c r="E24" s="37" cm="1">
        <f t="array" aca="1" ref="E24" ca="1">INDIRECT("'" &amp; C24 &amp; "'!$M$68")</f>
        <v>4.333333333333333</v>
      </c>
      <c r="G24" t="s">
        <v>316</v>
      </c>
      <c r="H24">
        <f ca="1">AVEDEV(D6:D26)</f>
        <v>1.1383219954648527</v>
      </c>
      <c r="M24" t="s">
        <v>316</v>
      </c>
      <c r="N24">
        <f ca="1">AVEDEV(E6:E26)</f>
        <v>0.95238095238095233</v>
      </c>
      <c r="U24" s="150" t="s">
        <v>431</v>
      </c>
      <c r="V24" s="153">
        <v>5.2857142857142847</v>
      </c>
      <c r="W24" s="151">
        <v>1.2529330667842065</v>
      </c>
      <c r="X24" s="150">
        <v>5.2644758259431649E-5</v>
      </c>
      <c r="Y24" s="150">
        <v>0.75291015798974359</v>
      </c>
      <c r="AC24" t="s">
        <v>375</v>
      </c>
      <c r="AD24" s="75" t="s">
        <v>376</v>
      </c>
      <c r="AE24" s="78" t="s">
        <v>376</v>
      </c>
    </row>
    <row r="25" spans="3:31" x14ac:dyDescent="0.3">
      <c r="C25" s="2" t="s">
        <v>399</v>
      </c>
      <c r="D25" s="37" cm="1">
        <f t="array" aca="1" ref="D25" ca="1">INDIRECT("'" &amp; C25 &amp; "'!$L$68")</f>
        <v>5.666666666666667</v>
      </c>
      <c r="E25" s="37" cm="1">
        <f t="array" aca="1" ref="E25" ca="1">INDIRECT("'" &amp; C25 &amp; "'!$M$68")</f>
        <v>6.333333333333333</v>
      </c>
      <c r="G25" t="s">
        <v>317</v>
      </c>
      <c r="H25">
        <f ca="1">[1]!MAD(D6:D26)</f>
        <v>0.66666666666666607</v>
      </c>
      <c r="M25" t="s">
        <v>317</v>
      </c>
      <c r="N25">
        <f ca="1">[1]!MAD(E6:E26)</f>
        <v>1</v>
      </c>
    </row>
    <row r="26" spans="3:31" x14ac:dyDescent="0.3">
      <c r="C26" s="2" t="s">
        <v>400</v>
      </c>
      <c r="D26" s="37" cm="1">
        <f t="array" aca="1" ref="D26" ca="1">INDIRECT("'" &amp; C26 &amp; "'!$L$68")</f>
        <v>2.6666666666666665</v>
      </c>
      <c r="E26" s="37" cm="1">
        <f t="array" aca="1" ref="E26" ca="1">INDIRECT("'" &amp; C26 &amp; "'!$M$68")</f>
        <v>2.6666666666666665</v>
      </c>
      <c r="G26" s="63" t="s">
        <v>318</v>
      </c>
      <c r="H26" s="63">
        <f ca="1">[1]!IQR(D6:D26,FALSE)</f>
        <v>1.666666666666667</v>
      </c>
      <c r="M26" s="63" t="s">
        <v>318</v>
      </c>
      <c r="N26" s="63">
        <f ca="1">[1]!IQR(E6:E26,FALSE)</f>
        <v>1.6666666666666661</v>
      </c>
    </row>
    <row r="28" spans="3:31" x14ac:dyDescent="0.3">
      <c r="D28" s="65"/>
      <c r="E28" s="65"/>
    </row>
    <row r="31" spans="3:31" x14ac:dyDescent="0.3">
      <c r="C31" s="2"/>
      <c r="D31" s="105" t="s">
        <v>104</v>
      </c>
      <c r="E31" s="2"/>
    </row>
    <row r="32" spans="3:31" x14ac:dyDescent="0.3">
      <c r="C32" s="2"/>
      <c r="D32" s="2"/>
      <c r="E32" s="2"/>
    </row>
    <row r="33" spans="3:31" x14ac:dyDescent="0.3">
      <c r="C33" s="2" t="s">
        <v>285</v>
      </c>
      <c r="D33" s="37" cm="1">
        <f t="array" aca="1" ref="D33" ca="1">INDIRECT("'" &amp; C33 &amp; "'!$e$68")</f>
        <v>5</v>
      </c>
      <c r="E33" s="37" cm="1">
        <f t="array" aca="1" ref="E33" ca="1">INDIRECT("'" &amp; C33 &amp; "'!$f$68")</f>
        <v>6</v>
      </c>
      <c r="G33" t="s">
        <v>300</v>
      </c>
      <c r="J33" t="s">
        <v>331</v>
      </c>
      <c r="M33" t="s">
        <v>300</v>
      </c>
      <c r="P33" t="s">
        <v>331</v>
      </c>
      <c r="Q33" s="87"/>
      <c r="S33" t="s">
        <v>338</v>
      </c>
      <c r="AC33" t="s">
        <v>358</v>
      </c>
    </row>
    <row r="34" spans="3:31" x14ac:dyDescent="0.3">
      <c r="C34" s="2" t="s">
        <v>286</v>
      </c>
      <c r="D34" s="37" cm="1">
        <f t="array" aca="1" ref="D34" ca="1">INDIRECT("'" &amp; C34 &amp; "'!$e$68")</f>
        <v>5</v>
      </c>
      <c r="E34" s="37" cm="1">
        <f t="array" aca="1" ref="E34" ca="1">INDIRECT("'" &amp; C34 &amp; "'!$f$68")</f>
        <v>6</v>
      </c>
    </row>
    <row r="35" spans="3:31" ht="15" thickBot="1" x14ac:dyDescent="0.35">
      <c r="C35" s="2" t="s">
        <v>287</v>
      </c>
      <c r="D35" s="37" cm="1">
        <f t="array" aca="1" ref="D35" ca="1">INDIRECT("'" &amp; C35 &amp; "'!$e$68")</f>
        <v>5</v>
      </c>
      <c r="E35" s="37" cm="1">
        <f t="array" aca="1" ref="E35" ca="1">INDIRECT("'" &amp; C35 &amp; "'!$f$68")</f>
        <v>6</v>
      </c>
      <c r="G35" s="64"/>
      <c r="H35" s="64" t="s">
        <v>379</v>
      </c>
      <c r="J35" s="64"/>
      <c r="K35" s="64" t="s">
        <v>379</v>
      </c>
      <c r="M35" s="64"/>
      <c r="N35" s="86" t="s">
        <v>379</v>
      </c>
      <c r="P35" s="92"/>
      <c r="Q35" s="91" t="s">
        <v>379</v>
      </c>
      <c r="S35" s="79" t="s">
        <v>339</v>
      </c>
      <c r="T35" s="96"/>
      <c r="V35" t="s">
        <v>340</v>
      </c>
      <c r="W35">
        <v>0.05</v>
      </c>
      <c r="Y35" t="s">
        <v>341</v>
      </c>
      <c r="Z35">
        <v>0</v>
      </c>
      <c r="AD35" t="s">
        <v>381</v>
      </c>
      <c r="AE35" t="s">
        <v>382</v>
      </c>
    </row>
    <row r="36" spans="3:31" ht="15" thickTop="1" x14ac:dyDescent="0.3">
      <c r="C36" s="2" t="s">
        <v>288</v>
      </c>
      <c r="D36" s="37" cm="1">
        <f t="array" aca="1" ref="D36" ca="1">INDIRECT("'" &amp; C36 &amp; "'!$e$68")</f>
        <v>2</v>
      </c>
      <c r="E36" s="37" cm="1">
        <f t="array" aca="1" ref="E36" ca="1">INDIRECT("'" &amp; C36 &amp; "'!$f$68")</f>
        <v>2</v>
      </c>
      <c r="G36" t="s">
        <v>301</v>
      </c>
      <c r="H36" s="65">
        <f ca="1">AVERAGE(D33:D53)</f>
        <v>4.2380952380952381</v>
      </c>
      <c r="J36" t="s">
        <v>332</v>
      </c>
      <c r="K36">
        <f ca="1">[1]!SHAPIRO(D33:D53)</f>
        <v>0.84263871775176091</v>
      </c>
      <c r="M36" t="s">
        <v>301</v>
      </c>
      <c r="N36" s="65">
        <f ca="1">AVERAGE(E33:E53)</f>
        <v>4.9523809523809526</v>
      </c>
      <c r="P36" t="s">
        <v>332</v>
      </c>
      <c r="Q36" s="74">
        <f ca="1">[1]!SHAPIRO(E33:E53)</f>
        <v>0.88270819034945402</v>
      </c>
      <c r="S36" s="97" t="s">
        <v>342</v>
      </c>
      <c r="T36" s="97" t="s">
        <v>313</v>
      </c>
      <c r="U36" s="97" t="s">
        <v>301</v>
      </c>
      <c r="V36" s="97" t="s">
        <v>343</v>
      </c>
      <c r="W36" s="97" t="s">
        <v>344</v>
      </c>
      <c r="X36" s="97" t="s">
        <v>345</v>
      </c>
      <c r="Y36" s="97" t="s">
        <v>346</v>
      </c>
      <c r="Z36" s="97" t="s">
        <v>347</v>
      </c>
      <c r="AA36" s="97" t="s">
        <v>348</v>
      </c>
      <c r="AC36" t="s">
        <v>359</v>
      </c>
      <c r="AD36" s="102">
        <f ca="1">MEDIAN(D33:D53)</f>
        <v>5</v>
      </c>
      <c r="AE36" s="103">
        <f ca="1">MEDIAN(E33:E53)</f>
        <v>6</v>
      </c>
    </row>
    <row r="37" spans="3:31" x14ac:dyDescent="0.3">
      <c r="C37" s="2" t="s">
        <v>289</v>
      </c>
      <c r="D37" s="37" cm="1">
        <f t="array" aca="1" ref="D37" ca="1">INDIRECT("'" &amp; C37 &amp; "'!$e$68")</f>
        <v>5</v>
      </c>
      <c r="E37" s="37" cm="1">
        <f t="array" aca="1" ref="E37" ca="1">INDIRECT("'" &amp; C37 &amp; "'!$f$68")</f>
        <v>5</v>
      </c>
      <c r="G37" t="s">
        <v>302</v>
      </c>
      <c r="H37">
        <f ca="1">_xlfn.STDEV.S(D33:D53)/SQRT(COUNT(D33:D53))</f>
        <v>0.32296809443453656</v>
      </c>
      <c r="J37" t="s">
        <v>333</v>
      </c>
      <c r="K37">
        <f ca="1">[1]!SWTEST(D33:D53)</f>
        <v>3.1804286220188382E-3</v>
      </c>
      <c r="M37" t="s">
        <v>302</v>
      </c>
      <c r="N37">
        <f ca="1">_xlfn.STDEV.S(E33:E53)/SQRT(COUNT(E33:E53))</f>
        <v>0.39926235840484925</v>
      </c>
      <c r="P37" t="s">
        <v>333</v>
      </c>
      <c r="Q37" s="74">
        <f ca="1">[1]!SWTEST(E33:E53)</f>
        <v>1.6403003835768315E-2</v>
      </c>
      <c r="S37" t="s">
        <v>379</v>
      </c>
      <c r="T37">
        <f ca="1">COUNT(D33:D53)</f>
        <v>21</v>
      </c>
      <c r="U37" s="65">
        <f ca="1">AVERAGE(D33:D53)</f>
        <v>4.2380952380952381</v>
      </c>
      <c r="V37">
        <f ca="1">_xlfn.STDEV.S(D33:D53)</f>
        <v>1.4800257398019097</v>
      </c>
    </row>
    <row r="38" spans="3:31" x14ac:dyDescent="0.3">
      <c r="C38" s="2" t="s">
        <v>290</v>
      </c>
      <c r="D38" s="37" cm="1">
        <f t="array" aca="1" ref="D38" ca="1">INDIRECT("'" &amp; C38 &amp; "'!$e$68")</f>
        <v>5</v>
      </c>
      <c r="E38" s="37" cm="1">
        <f t="array" aca="1" ref="E38" ca="1">INDIRECT("'" &amp; C38 &amp; "'!$f$68")</f>
        <v>5</v>
      </c>
      <c r="G38" t="s">
        <v>303</v>
      </c>
      <c r="H38" s="65">
        <f ca="1">MEDIAN(D33:D53)</f>
        <v>5</v>
      </c>
      <c r="J38" t="s">
        <v>334</v>
      </c>
      <c r="K38">
        <v>0.05</v>
      </c>
      <c r="M38" t="s">
        <v>303</v>
      </c>
      <c r="N38" s="65">
        <f ca="1">MEDIAN(E33:E53)</f>
        <v>6</v>
      </c>
      <c r="P38" t="s">
        <v>334</v>
      </c>
      <c r="Q38" s="74">
        <v>0.05</v>
      </c>
      <c r="S38" t="s">
        <v>380</v>
      </c>
      <c r="T38">
        <f ca="1">COUNT(E33:E53)</f>
        <v>21</v>
      </c>
      <c r="U38" s="65">
        <f ca="1">AVERAGE(E33:E53)</f>
        <v>4.9523809523809526</v>
      </c>
      <c r="V38">
        <f ca="1">_xlfn.STDEV.S(E33:E53)</f>
        <v>1.8296499795368097</v>
      </c>
      <c r="AC38" t="s">
        <v>360</v>
      </c>
      <c r="AD38" s="88">
        <f ca="1">SUMPRODUCT(--ISNUMBER(D33:D53),--ISNUMBER(E33:E53))</f>
        <v>21</v>
      </c>
    </row>
    <row r="39" spans="3:31" x14ac:dyDescent="0.3">
      <c r="C39" s="2" t="s">
        <v>291</v>
      </c>
      <c r="D39" s="37" cm="1">
        <f t="array" aca="1" ref="D39" ca="1">INDIRECT("'" &amp; C39 &amp; "'!$e$68")</f>
        <v>6</v>
      </c>
      <c r="E39" s="37" cm="1">
        <f t="array" aca="1" ref="E39" ca="1">INDIRECT("'" &amp; C39 &amp; "'!$f$68")</f>
        <v>7</v>
      </c>
      <c r="G39" t="s">
        <v>304</v>
      </c>
      <c r="H39">
        <f ca="1">MODE(D33:D53)</f>
        <v>5</v>
      </c>
      <c r="J39" s="63" t="s">
        <v>335</v>
      </c>
      <c r="K39" s="66" t="str">
        <f ca="1">IF(K37&lt;K38,"no","yes")</f>
        <v>no</v>
      </c>
      <c r="M39" t="s">
        <v>304</v>
      </c>
      <c r="N39">
        <f ca="1">MODE(E33:E53)</f>
        <v>6</v>
      </c>
      <c r="P39" s="63" t="s">
        <v>335</v>
      </c>
      <c r="Q39" s="93" t="str">
        <f ca="1">IF(Q37&lt;Q38,"no","yes")</f>
        <v>no</v>
      </c>
      <c r="S39" s="98" t="s">
        <v>349</v>
      </c>
      <c r="T39" s="99">
        <f ca="1">T38</f>
        <v>21</v>
      </c>
      <c r="U39" s="100">
        <f ca="1">U37-U38</f>
        <v>-0.71428571428571441</v>
      </c>
      <c r="V39" s="85">
        <f t="array" aca="1" ref="V39" ca="1">_xlfn.STDEV.S(D33:D53-E33:E53)</f>
        <v>0.71713716560063623</v>
      </c>
      <c r="W39" s="85">
        <f ca="1">V39/SQRT(T39)</f>
        <v>0.15649215928719035</v>
      </c>
      <c r="X39" s="85">
        <f ca="1">(U37-U38-Z35)/W39</f>
        <v>-4.5643546458763842</v>
      </c>
      <c r="Y39" s="85">
        <f ca="1">T39-1</f>
        <v>20</v>
      </c>
      <c r="Z39" s="85">
        <f ca="1">ABS(U37-U38-Z35)/V39</f>
        <v>0.99602384111199482</v>
      </c>
      <c r="AA39" s="85">
        <f ca="1">SQRT(X39^2/(X39^2+Y39))</f>
        <v>0.7142857142857143</v>
      </c>
      <c r="AC39" t="s">
        <v>361</v>
      </c>
      <c r="AD39" s="74">
        <f ca="1">SUMPRODUCT(--ISNUMBER(D33:D53),--ISNUMBER(E33:E53),--(D33:D53&lt;&gt;E33:E53))</f>
        <v>15</v>
      </c>
    </row>
    <row r="40" spans="3:31" x14ac:dyDescent="0.3">
      <c r="C40" s="2" t="s">
        <v>292</v>
      </c>
      <c r="D40" s="37" cm="1">
        <f t="array" aca="1" ref="D40" ca="1">INDIRECT("'" &amp; C40 &amp; "'!$e$68")</f>
        <v>1</v>
      </c>
      <c r="E40" s="37" cm="1">
        <f t="array" aca="1" ref="E40" ca="1">INDIRECT("'" &amp; C40 &amp; "'!$f$68")</f>
        <v>1</v>
      </c>
      <c r="G40" t="s">
        <v>305</v>
      </c>
      <c r="H40">
        <f ca="1">_xlfn.STDEV.S(D33:D53)</f>
        <v>1.4800257398019097</v>
      </c>
      <c r="M40" t="s">
        <v>305</v>
      </c>
      <c r="N40">
        <f ca="1">_xlfn.STDEV.S(E33:E53)</f>
        <v>1.8296499795368097</v>
      </c>
      <c r="Q40" s="74"/>
      <c r="AC40" t="s">
        <v>362</v>
      </c>
      <c r="AD40" s="74">
        <f ca="1">IF(AD42&lt;=AD45,AD42,AD39*(AD39+1)/2)</f>
        <v>7</v>
      </c>
    </row>
    <row r="41" spans="3:31" ht="15" thickBot="1" x14ac:dyDescent="0.35">
      <c r="C41" s="2" t="s">
        <v>293</v>
      </c>
      <c r="D41" s="37" cm="1">
        <f t="array" aca="1" ref="D41" ca="1">INDIRECT("'" &amp; C41 &amp; "'!$e$68")</f>
        <v>6</v>
      </c>
      <c r="E41" s="37" cm="1">
        <f t="array" aca="1" ref="E41" ca="1">INDIRECT("'" &amp; C41 &amp; "'!$f$68")</f>
        <v>7</v>
      </c>
      <c r="G41" t="s">
        <v>306</v>
      </c>
      <c r="H41">
        <f ca="1">_xlfn.VAR.S(D33:D53)</f>
        <v>2.1904761904761898</v>
      </c>
      <c r="J41" t="s">
        <v>336</v>
      </c>
      <c r="M41" t="s">
        <v>306</v>
      </c>
      <c r="N41">
        <f ca="1">_xlfn.VAR.S(E33:E53)</f>
        <v>3.3476190476190482</v>
      </c>
      <c r="P41" t="s">
        <v>336</v>
      </c>
      <c r="Q41" s="90"/>
      <c r="S41" t="s">
        <v>350</v>
      </c>
      <c r="AC41" t="s">
        <v>363</v>
      </c>
      <c r="AD41" s="74">
        <f ca="1">AD39*(AD39+1)/2-AD40</f>
        <v>113</v>
      </c>
    </row>
    <row r="42" spans="3:31" ht="15" thickTop="1" x14ac:dyDescent="0.3">
      <c r="C42" s="2" t="s">
        <v>294</v>
      </c>
      <c r="D42" s="37" cm="1">
        <f t="array" aca="1" ref="D42" ca="1">INDIRECT("'" &amp; C42 &amp; "'!$e$68")</f>
        <v>5</v>
      </c>
      <c r="E42" s="37" cm="1">
        <f t="array" aca="1" ref="E42" ca="1">INDIRECT("'" &amp; C42 &amp; "'!$f$68")</f>
        <v>6</v>
      </c>
      <c r="G42" t="s">
        <v>307</v>
      </c>
      <c r="H42">
        <f ca="1">KURT(D33:D53)</f>
        <v>-0.38088747388319621</v>
      </c>
      <c r="M42" t="s">
        <v>307</v>
      </c>
      <c r="N42">
        <f ca="1">KURT(E33:E53)</f>
        <v>-0.46242634828158513</v>
      </c>
      <c r="S42" s="101" t="s">
        <v>351</v>
      </c>
      <c r="T42" s="101" t="s">
        <v>333</v>
      </c>
      <c r="U42" s="101" t="s">
        <v>352</v>
      </c>
      <c r="V42" s="101" t="s">
        <v>353</v>
      </c>
      <c r="W42" s="101" t="s">
        <v>354</v>
      </c>
      <c r="X42" s="101" t="s">
        <v>355</v>
      </c>
      <c r="AC42" t="s">
        <v>364</v>
      </c>
      <c r="AD42" s="75">
        <f ca="1">[1]!SRANK(D33:D53,E33:E53)</f>
        <v>7</v>
      </c>
    </row>
    <row r="43" spans="3:31" x14ac:dyDescent="0.3">
      <c r="C43" s="2" t="s">
        <v>295</v>
      </c>
      <c r="D43" s="37" cm="1">
        <f t="array" aca="1" ref="D43" ca="1">INDIRECT("'" &amp; C43 &amp; "'!$e$68")</f>
        <v>6</v>
      </c>
      <c r="E43" s="37" cm="1">
        <f t="array" aca="1" ref="E43" ca="1">INDIRECT("'" &amp; C43 &amp; "'!$f$68")</f>
        <v>7</v>
      </c>
      <c r="G43" t="s">
        <v>308</v>
      </c>
      <c r="H43">
        <f ca="1">SKEW(D33:D53)</f>
        <v>-0.86212861420676778</v>
      </c>
      <c r="J43" s="85" t="s">
        <v>337</v>
      </c>
      <c r="K43" s="85">
        <f ca="1">[1]!DAGOSTINO(D33:D53)</f>
        <v>3.0310648872761514</v>
      </c>
      <c r="M43" t="s">
        <v>308</v>
      </c>
      <c r="N43">
        <f ca="1">SKEW(E33:E53)</f>
        <v>-0.78887385388654974</v>
      </c>
      <c r="P43" s="94" t="s">
        <v>337</v>
      </c>
      <c r="Q43" s="95">
        <f ca="1">[1]!DAGOSTINO(E33:E53)</f>
        <v>2.6596228794270567</v>
      </c>
      <c r="S43" t="s">
        <v>356</v>
      </c>
      <c r="T43">
        <f ca="1">_xlfn.T.DIST.RT(ABS(X39),Y39)</f>
        <v>9.4164659302801022E-5</v>
      </c>
      <c r="U43">
        <f ca="1">_xlfn.T.INV.2T(W35*2,Y39)</f>
        <v>1.7247182429207868</v>
      </c>
      <c r="X43" s="70" t="str">
        <f ca="1">IF(T43&lt;W35,"yes","no")</f>
        <v>yes</v>
      </c>
    </row>
    <row r="44" spans="3:31" x14ac:dyDescent="0.3">
      <c r="C44" s="2" t="s">
        <v>296</v>
      </c>
      <c r="D44" s="37" cm="1">
        <f t="array" aca="1" ref="D44" ca="1">INDIRECT("'" &amp; C44 &amp; "'!$e$68")</f>
        <v>5</v>
      </c>
      <c r="E44" s="37" cm="1">
        <f t="array" aca="1" ref="E44" ca="1">INDIRECT("'" &amp; C44 &amp; "'!$f$68")</f>
        <v>6</v>
      </c>
      <c r="G44" t="s">
        <v>309</v>
      </c>
      <c r="H44" s="65">
        <f ca="1">H45-H46</f>
        <v>5</v>
      </c>
      <c r="J44" t="s">
        <v>333</v>
      </c>
      <c r="K44">
        <f ca="1">[1]!DPTEST(D33:D53)</f>
        <v>0.21969118053000902</v>
      </c>
      <c r="M44" t="s">
        <v>309</v>
      </c>
      <c r="N44" s="65">
        <f ca="1">N45-N46</f>
        <v>6</v>
      </c>
      <c r="P44" t="s">
        <v>333</v>
      </c>
      <c r="Q44" s="74">
        <f ca="1">[1]!DPTEST(E33:E53)</f>
        <v>0.26452713591001753</v>
      </c>
      <c r="S44" t="s">
        <v>357</v>
      </c>
      <c r="T44">
        <f ca="1">_xlfn.T.DIST.2T(ABS(X39),Y39)</f>
        <v>1.8832931860560204E-4</v>
      </c>
      <c r="U44">
        <f ca="1">_xlfn.T.INV.2T(W35,Y39)</f>
        <v>2.0859634472658648</v>
      </c>
      <c r="V44">
        <f ca="1">(U37-U38)-W39*U44</f>
        <v>-1.0407226383425008</v>
      </c>
      <c r="W44">
        <f ca="1">(U37-U38)+W39*U44</f>
        <v>-0.38784879022892804</v>
      </c>
      <c r="X44" s="70" t="str">
        <f ca="1">IF(T44&lt;W35,"yes","no")</f>
        <v>yes</v>
      </c>
      <c r="AD44" s="70" t="s">
        <v>365</v>
      </c>
      <c r="AE44" s="70" t="s">
        <v>366</v>
      </c>
    </row>
    <row r="45" spans="3:31" x14ac:dyDescent="0.3">
      <c r="C45" s="2" t="s">
        <v>297</v>
      </c>
      <c r="D45" s="37" cm="1">
        <f t="array" aca="1" ref="D45" ca="1">INDIRECT("'" &amp; C45 &amp; "'!$e$68")</f>
        <v>3</v>
      </c>
      <c r="E45" s="37" cm="1">
        <f t="array" aca="1" ref="E45" ca="1">INDIRECT("'" &amp; C45 &amp; "'!$f$68")</f>
        <v>4</v>
      </c>
      <c r="G45" t="s">
        <v>310</v>
      </c>
      <c r="H45" s="65">
        <f ca="1">MAX(D33:D53)</f>
        <v>6</v>
      </c>
      <c r="J45" t="s">
        <v>334</v>
      </c>
      <c r="K45">
        <v>0.05</v>
      </c>
      <c r="M45" t="s">
        <v>310</v>
      </c>
      <c r="N45" s="65">
        <f ca="1">MAX(E33:E53)</f>
        <v>7</v>
      </c>
      <c r="P45" t="s">
        <v>334</v>
      </c>
      <c r="Q45" s="89">
        <v>0.05</v>
      </c>
      <c r="S45" s="85"/>
      <c r="T45" s="85"/>
      <c r="U45" s="85"/>
      <c r="V45" s="85"/>
      <c r="W45" s="85"/>
      <c r="X45" s="85"/>
      <c r="AC45" t="s">
        <v>367</v>
      </c>
      <c r="AD45" s="88">
        <f ca="1">AD39*(AD39+1)/4</f>
        <v>60</v>
      </c>
    </row>
    <row r="46" spans="3:31" x14ac:dyDescent="0.3">
      <c r="C46" s="2" t="s">
        <v>298</v>
      </c>
      <c r="D46" s="37" cm="1">
        <f t="array" aca="1" ref="D46" ca="1">INDIRECT("'" &amp; C46 &amp; "'!$e$68")</f>
        <v>5</v>
      </c>
      <c r="E46" s="37" cm="1">
        <f t="array" aca="1" ref="E46" ca="1">INDIRECT("'" &amp; C46 &amp; "'!$f$68")</f>
        <v>6</v>
      </c>
      <c r="G46" t="s">
        <v>311</v>
      </c>
      <c r="H46" s="65">
        <f ca="1">MIN(D33:D53)</f>
        <v>1</v>
      </c>
      <c r="J46" s="63" t="s">
        <v>335</v>
      </c>
      <c r="K46" s="66" t="str">
        <f ca="1">IF(K44&lt;K45,"no","yes")</f>
        <v>yes</v>
      </c>
      <c r="M46" t="s">
        <v>311</v>
      </c>
      <c r="N46" s="65">
        <f ca="1">MIN(E33:E53)</f>
        <v>1</v>
      </c>
      <c r="P46" s="63" t="s">
        <v>335</v>
      </c>
      <c r="Q46" s="93" t="str">
        <f ca="1">IF(Q44&lt;Q45,"no","yes")</f>
        <v>yes</v>
      </c>
      <c r="S46" s="63"/>
      <c r="T46" s="66"/>
      <c r="AC46" t="s">
        <v>368</v>
      </c>
      <c r="AD46" s="74">
        <f ca="1">SQRT(AD45*(2*AD39+1)/6-[1]!TiesCorrection(D33:D53,E33:E53,1)/48)</f>
        <v>16.2596125415091</v>
      </c>
      <c r="AE46" t="s">
        <v>369</v>
      </c>
    </row>
    <row r="47" spans="3:31" x14ac:dyDescent="0.3">
      <c r="C47" s="2" t="s">
        <v>299</v>
      </c>
      <c r="D47" s="37" cm="1">
        <f t="array" aca="1" ref="D47" ca="1">INDIRECT("'" &amp; C47 &amp; "'!$e$68")</f>
        <v>2</v>
      </c>
      <c r="E47" s="37" cm="1">
        <f t="array" aca="1" ref="E47" ca="1">INDIRECT("'" &amp; C47 &amp; "'!$f$68")</f>
        <v>3</v>
      </c>
      <c r="G47" t="s">
        <v>312</v>
      </c>
      <c r="H47" s="65">
        <f ca="1">SUM(D33:D53)</f>
        <v>89</v>
      </c>
      <c r="M47" t="s">
        <v>312</v>
      </c>
      <c r="N47" s="65">
        <f ca="1">SUM(E33:E53)</f>
        <v>104</v>
      </c>
      <c r="Q47" s="74"/>
      <c r="AC47" t="s">
        <v>370</v>
      </c>
      <c r="AD47" s="74">
        <f ca="1">ABS(ABS(AD42-AD45)-1/2)/AD46</f>
        <v>3.2288592281010979</v>
      </c>
      <c r="AE47" t="s">
        <v>371</v>
      </c>
    </row>
    <row r="48" spans="3:31" x14ac:dyDescent="0.3">
      <c r="C48" s="2" t="s">
        <v>395</v>
      </c>
      <c r="D48" s="37" cm="1">
        <f t="array" aca="1" ref="D48" ca="1">INDIRECT("'" &amp; C48 &amp; "'!$e$68")</f>
        <v>4</v>
      </c>
      <c r="E48" s="37" cm="1">
        <f t="array" aca="1" ref="E48" ca="1">INDIRECT("'" &amp; C48 &amp; "'!$f$68")</f>
        <v>5</v>
      </c>
      <c r="G48" t="s">
        <v>313</v>
      </c>
      <c r="H48">
        <f ca="1">COUNT(D33:D53)</f>
        <v>21</v>
      </c>
      <c r="M48" t="s">
        <v>313</v>
      </c>
      <c r="N48">
        <f ca="1">COUNT(E33:E53)</f>
        <v>21</v>
      </c>
      <c r="Q48" s="90"/>
      <c r="AC48" t="s">
        <v>372</v>
      </c>
      <c r="AD48" s="74">
        <f ca="1">AD47/SQRT(AD39)</f>
        <v>0.83368786784557913</v>
      </c>
    </row>
    <row r="49" spans="3:31" x14ac:dyDescent="0.3">
      <c r="C49" s="2" t="s">
        <v>396</v>
      </c>
      <c r="D49" s="37" cm="1">
        <f t="array" aca="1" ref="D49" ca="1">INDIRECT("'" &amp; C49 &amp; "'!$e$68")</f>
        <v>4</v>
      </c>
      <c r="E49" s="37" cm="1">
        <f t="array" aca="1" ref="E49" ca="1">INDIRECT("'" &amp; C49 &amp; "'!$f$68")</f>
        <v>6</v>
      </c>
      <c r="G49" t="s">
        <v>314</v>
      </c>
      <c r="H49">
        <f ca="1">GEOMEAN(D33:D53)</f>
        <v>3.8885776432084556</v>
      </c>
      <c r="M49" t="s">
        <v>314</v>
      </c>
      <c r="N49">
        <f ca="1">GEOMEAN(E33:E53)</f>
        <v>4.4839044852851089</v>
      </c>
      <c r="AC49" t="s">
        <v>373</v>
      </c>
      <c r="AD49" s="88">
        <f ca="1">1-_xlfn.NORM.S.DIST(AD47,TRUE)</f>
        <v>6.2142528412001408E-4</v>
      </c>
      <c r="AE49" s="104">
        <f ca="1">2*AD49</f>
        <v>1.2428505682400282E-3</v>
      </c>
    </row>
    <row r="50" spans="3:31" x14ac:dyDescent="0.3">
      <c r="C50" s="2" t="s">
        <v>397</v>
      </c>
      <c r="D50" s="37" cm="1">
        <f t="array" aca="1" ref="D50" ca="1">INDIRECT("'" &amp; C50 &amp; "'!$e$68")</f>
        <v>5</v>
      </c>
      <c r="E50" s="37" cm="1">
        <f t="array" aca="1" ref="E50" ca="1">INDIRECT("'" &amp; C50 &amp; "'!$f$68")</f>
        <v>4</v>
      </c>
      <c r="G50" t="s">
        <v>315</v>
      </c>
      <c r="H50">
        <f ca="1">HARMEAN(D33:D53)</f>
        <v>3.4054054054054053</v>
      </c>
      <c r="M50" t="s">
        <v>315</v>
      </c>
      <c r="N50">
        <f ca="1">HARMEAN(E33:E53)</f>
        <v>3.8148788927335646</v>
      </c>
      <c r="Q50" s="87"/>
      <c r="AC50" t="s">
        <v>374</v>
      </c>
      <c r="AD50" s="74">
        <f ca="1">[1]!SRDIST(AD42,AD39,1)</f>
        <v>5.79833984375E-4</v>
      </c>
      <c r="AE50" s="77">
        <f ca="1">2*AD50</f>
        <v>1.15966796875E-3</v>
      </c>
    </row>
    <row r="51" spans="3:31" x14ac:dyDescent="0.3">
      <c r="C51" s="2" t="s">
        <v>398</v>
      </c>
      <c r="D51" s="37" cm="1">
        <f t="array" aca="1" ref="D51" ca="1">INDIRECT("'" &amp; C51 &amp; "'!$e$68")</f>
        <v>3</v>
      </c>
      <c r="E51" s="37" cm="1">
        <f t="array" aca="1" ref="E51" ca="1">INDIRECT("'" &amp; C51 &amp; "'!$f$68")</f>
        <v>3</v>
      </c>
      <c r="G51" t="s">
        <v>316</v>
      </c>
      <c r="H51">
        <f ca="1">AVEDEV(D33:D53)</f>
        <v>1.2290249433106577</v>
      </c>
      <c r="M51" t="s">
        <v>316</v>
      </c>
      <c r="N51">
        <f ca="1">AVEDEV(E33:E53)</f>
        <v>1.4920634920634921</v>
      </c>
      <c r="AC51" t="s">
        <v>375</v>
      </c>
      <c r="AD51" s="75" t="s">
        <v>376</v>
      </c>
      <c r="AE51" s="78" t="s">
        <v>376</v>
      </c>
    </row>
    <row r="52" spans="3:31" x14ac:dyDescent="0.3">
      <c r="C52" s="2" t="s">
        <v>399</v>
      </c>
      <c r="D52" s="37" cm="1">
        <f t="array" aca="1" ref="D52" ca="1">INDIRECT("'" &amp; C52 &amp; "'!$e$68")</f>
        <v>5</v>
      </c>
      <c r="E52" s="37" cm="1">
        <f t="array" aca="1" ref="E52" ca="1">INDIRECT("'" &amp; C52 &amp; "'!$f$68")</f>
        <v>7</v>
      </c>
      <c r="G52" t="s">
        <v>317</v>
      </c>
      <c r="H52">
        <f ca="1">[1]!MAD(D33:D53)</f>
        <v>1</v>
      </c>
      <c r="M52" t="s">
        <v>317</v>
      </c>
      <c r="N52">
        <f ca="1">[1]!MAD(E33:E53)</f>
        <v>1</v>
      </c>
    </row>
    <row r="53" spans="3:31" x14ac:dyDescent="0.3">
      <c r="C53" s="2" t="s">
        <v>400</v>
      </c>
      <c r="D53" s="37" cm="1">
        <f t="array" aca="1" ref="D53" ca="1">INDIRECT("'" &amp; C53 &amp; "'!$e$68")</f>
        <v>2</v>
      </c>
      <c r="E53" s="37" cm="1">
        <f t="array" aca="1" ref="E53" ca="1">INDIRECT("'" &amp; C53 &amp; "'!$f$68")</f>
        <v>2</v>
      </c>
      <c r="G53" s="63" t="s">
        <v>318</v>
      </c>
      <c r="H53" s="63">
        <f ca="1">[1]!IQR(D33:D53,FALSE)</f>
        <v>2</v>
      </c>
      <c r="M53" s="63" t="s">
        <v>318</v>
      </c>
      <c r="N53" s="63">
        <f ca="1">[1]!IQR(E33:E53,FALSE)</f>
        <v>2</v>
      </c>
    </row>
    <row r="58" spans="3:31" x14ac:dyDescent="0.3">
      <c r="C58" s="2"/>
      <c r="D58" s="59" t="s">
        <v>106</v>
      </c>
      <c r="E58" s="2"/>
    </row>
    <row r="59" spans="3:31" x14ac:dyDescent="0.3">
      <c r="C59" s="2"/>
      <c r="D59" s="2"/>
      <c r="E59" s="2"/>
    </row>
    <row r="60" spans="3:31" x14ac:dyDescent="0.3">
      <c r="C60" s="2" t="s">
        <v>285</v>
      </c>
      <c r="D60" s="37" cm="1">
        <f t="array" aca="1" ref="D60" ca="1">INDIRECT("'" &amp; C60 &amp; "'!$e$69")</f>
        <v>4</v>
      </c>
      <c r="E60" s="37" cm="1">
        <f t="array" aca="1" ref="E60" ca="1">INDIRECT("'" &amp; C60 &amp; "'!$f$69")</f>
        <v>4</v>
      </c>
      <c r="G60" t="s">
        <v>300</v>
      </c>
      <c r="J60" t="s">
        <v>331</v>
      </c>
      <c r="M60" t="s">
        <v>300</v>
      </c>
      <c r="P60" t="s">
        <v>331</v>
      </c>
      <c r="Q60" s="87"/>
      <c r="S60" t="s">
        <v>338</v>
      </c>
      <c r="AC60" t="s">
        <v>358</v>
      </c>
    </row>
    <row r="61" spans="3:31" x14ac:dyDescent="0.3">
      <c r="C61" s="2" t="s">
        <v>286</v>
      </c>
      <c r="D61" s="37" cm="1">
        <f t="array" aca="1" ref="D61" ca="1">INDIRECT("'" &amp; C61 &amp; "'!$e$69")</f>
        <v>5</v>
      </c>
      <c r="E61" s="37" cm="1">
        <f t="array" aca="1" ref="E61" ca="1">INDIRECT("'" &amp; C61 &amp; "'!$f$69")</f>
        <v>5</v>
      </c>
    </row>
    <row r="62" spans="3:31" ht="15" thickBot="1" x14ac:dyDescent="0.35">
      <c r="C62" s="2" t="s">
        <v>287</v>
      </c>
      <c r="D62" s="37" cm="1">
        <f t="array" aca="1" ref="D62" ca="1">INDIRECT("'" &amp; C62 &amp; "'!$e$69")</f>
        <v>6</v>
      </c>
      <c r="E62" s="37" cm="1">
        <f t="array" aca="1" ref="E62" ca="1">INDIRECT("'" &amp; C62 &amp; "'!$f$69")</f>
        <v>6</v>
      </c>
      <c r="G62" s="64"/>
      <c r="H62" s="64" t="s">
        <v>379</v>
      </c>
      <c r="J62" s="64"/>
      <c r="K62" s="64" t="s">
        <v>379</v>
      </c>
      <c r="M62" s="64"/>
      <c r="N62" s="86" t="s">
        <v>379</v>
      </c>
      <c r="P62" s="92"/>
      <c r="Q62" s="91" t="s">
        <v>379</v>
      </c>
      <c r="S62" s="79" t="s">
        <v>339</v>
      </c>
      <c r="T62" s="96"/>
      <c r="V62" t="s">
        <v>340</v>
      </c>
      <c r="W62">
        <v>0.05</v>
      </c>
      <c r="Y62" t="s">
        <v>341</v>
      </c>
      <c r="Z62">
        <v>0</v>
      </c>
      <c r="AD62" t="s">
        <v>381</v>
      </c>
      <c r="AE62" t="s">
        <v>382</v>
      </c>
    </row>
    <row r="63" spans="3:31" ht="15" thickTop="1" x14ac:dyDescent="0.3">
      <c r="C63" s="2" t="s">
        <v>288</v>
      </c>
      <c r="D63" s="37" cm="1">
        <f t="array" aca="1" ref="D63" ca="1">INDIRECT("'" &amp; C63 &amp; "'!$e$69")</f>
        <v>2</v>
      </c>
      <c r="E63" s="37" cm="1">
        <f t="array" aca="1" ref="E63" ca="1">INDIRECT("'" &amp; C63 &amp; "'!$f$69")</f>
        <v>3</v>
      </c>
      <c r="G63" t="s">
        <v>301</v>
      </c>
      <c r="H63" s="65">
        <f ca="1">AVERAGE(D60:D80)</f>
        <v>4.333333333333333</v>
      </c>
      <c r="J63" t="s">
        <v>332</v>
      </c>
      <c r="K63">
        <f ca="1">[1]!SHAPIRO(D60:D80)</f>
        <v>0.94417478729195736</v>
      </c>
      <c r="M63" t="s">
        <v>301</v>
      </c>
      <c r="N63" s="65">
        <f ca="1">AVERAGE(E60:E80)</f>
        <v>4.9047619047619051</v>
      </c>
      <c r="P63" t="s">
        <v>332</v>
      </c>
      <c r="Q63" s="74">
        <f ca="1">[1]!SHAPIRO(E60:E80)</f>
        <v>0.91061230039422669</v>
      </c>
      <c r="S63" s="97" t="s">
        <v>342</v>
      </c>
      <c r="T63" s="97" t="s">
        <v>313</v>
      </c>
      <c r="U63" s="97" t="s">
        <v>301</v>
      </c>
      <c r="V63" s="97" t="s">
        <v>343</v>
      </c>
      <c r="W63" s="97" t="s">
        <v>344</v>
      </c>
      <c r="X63" s="97" t="s">
        <v>345</v>
      </c>
      <c r="Y63" s="97" t="s">
        <v>346</v>
      </c>
      <c r="Z63" s="97" t="s">
        <v>347</v>
      </c>
      <c r="AA63" s="97" t="s">
        <v>348</v>
      </c>
      <c r="AC63" t="s">
        <v>359</v>
      </c>
      <c r="AD63" s="102">
        <f ca="1">MEDIAN(D60:D80)</f>
        <v>4</v>
      </c>
      <c r="AE63" s="103">
        <f ca="1">MEDIAN(E60:E80)</f>
        <v>5</v>
      </c>
    </row>
    <row r="64" spans="3:31" x14ac:dyDescent="0.3">
      <c r="C64" s="2" t="s">
        <v>289</v>
      </c>
      <c r="D64" s="37" cm="1">
        <f t="array" aca="1" ref="D64" ca="1">INDIRECT("'" &amp; C64 &amp; "'!$e$69")</f>
        <v>5</v>
      </c>
      <c r="E64" s="37" cm="1">
        <f t="array" aca="1" ref="E64" ca="1">INDIRECT("'" &amp; C64 &amp; "'!$f$69")</f>
        <v>6</v>
      </c>
      <c r="G64" t="s">
        <v>302</v>
      </c>
      <c r="H64">
        <f ca="1">_xlfn.STDEV.S(D60:D80)/SQRT(COUNT(D60:D80))</f>
        <v>0.36077517952144411</v>
      </c>
      <c r="J64" t="s">
        <v>333</v>
      </c>
      <c r="K64">
        <f ca="1">[1]!SWTEST(D60:D80)</f>
        <v>0.26320831977306236</v>
      </c>
      <c r="M64" t="s">
        <v>302</v>
      </c>
      <c r="N64">
        <f ca="1">_xlfn.STDEV.S(E60:E80)/SQRT(COUNT(E60:E80))</f>
        <v>0.31550988139957031</v>
      </c>
      <c r="P64" t="s">
        <v>333</v>
      </c>
      <c r="Q64" s="74">
        <f ca="1">[1]!SWTEST(E60:E80)</f>
        <v>5.6460490763743265E-2</v>
      </c>
      <c r="S64" t="s">
        <v>379</v>
      </c>
      <c r="T64">
        <f ca="1">COUNT(D60:D80)</f>
        <v>21</v>
      </c>
      <c r="U64" s="65">
        <f ca="1">AVERAGE(D60:D80)</f>
        <v>4.333333333333333</v>
      </c>
      <c r="V64">
        <f ca="1">_xlfn.STDEV.S(D60:D80)</f>
        <v>1.6532795690182995</v>
      </c>
    </row>
    <row r="65" spans="3:31" x14ac:dyDescent="0.3">
      <c r="C65" s="2" t="s">
        <v>290</v>
      </c>
      <c r="D65" s="37" cm="1">
        <f t="array" aca="1" ref="D65" ca="1">INDIRECT("'" &amp; C65 &amp; "'!$e$69")</f>
        <v>5</v>
      </c>
      <c r="E65" s="37" cm="1">
        <f t="array" aca="1" ref="E65" ca="1">INDIRECT("'" &amp; C65 &amp; "'!$f$69")</f>
        <v>5</v>
      </c>
      <c r="G65" t="s">
        <v>303</v>
      </c>
      <c r="H65" s="65">
        <f ca="1">MEDIAN(D60:D80)</f>
        <v>4</v>
      </c>
      <c r="J65" t="s">
        <v>334</v>
      </c>
      <c r="K65">
        <v>0.05</v>
      </c>
      <c r="M65" t="s">
        <v>303</v>
      </c>
      <c r="N65" s="65">
        <f ca="1">MEDIAN(E60:E80)</f>
        <v>5</v>
      </c>
      <c r="P65" t="s">
        <v>334</v>
      </c>
      <c r="Q65" s="74">
        <v>0.05</v>
      </c>
      <c r="S65" t="s">
        <v>380</v>
      </c>
      <c r="T65">
        <f ca="1">COUNT(E60:E80)</f>
        <v>21</v>
      </c>
      <c r="U65" s="65">
        <f ca="1">AVERAGE(E60:E80)</f>
        <v>4.9047619047619051</v>
      </c>
      <c r="V65">
        <f ca="1">_xlfn.STDEV.S(E60:E80)</f>
        <v>1.4458479140200706</v>
      </c>
      <c r="AC65" t="s">
        <v>360</v>
      </c>
      <c r="AD65" s="88">
        <f ca="1">SUMPRODUCT(--ISNUMBER(D60:D80),--ISNUMBER(E60:E80))</f>
        <v>21</v>
      </c>
    </row>
    <row r="66" spans="3:31" x14ac:dyDescent="0.3">
      <c r="C66" s="2" t="s">
        <v>291</v>
      </c>
      <c r="D66" s="37" cm="1">
        <f t="array" aca="1" ref="D66" ca="1">INDIRECT("'" &amp; C66 &amp; "'!$e$69")</f>
        <v>7</v>
      </c>
      <c r="E66" s="37" cm="1">
        <f t="array" aca="1" ref="E66" ca="1">INDIRECT("'" &amp; C66 &amp; "'!$f$69")</f>
        <v>7</v>
      </c>
      <c r="G66" t="s">
        <v>304</v>
      </c>
      <c r="H66">
        <f ca="1">MODE(D60:D80)</f>
        <v>4</v>
      </c>
      <c r="J66" s="63" t="s">
        <v>335</v>
      </c>
      <c r="K66" s="66" t="str">
        <f ca="1">IF(K64&lt;K65,"no","yes")</f>
        <v>yes</v>
      </c>
      <c r="M66" t="s">
        <v>304</v>
      </c>
      <c r="N66">
        <f ca="1">MODE(E60:E80)</f>
        <v>6</v>
      </c>
      <c r="P66" s="63" t="s">
        <v>335</v>
      </c>
      <c r="Q66" s="93" t="str">
        <f ca="1">IF(Q64&lt;Q65,"no","yes")</f>
        <v>yes</v>
      </c>
      <c r="S66" s="98" t="s">
        <v>349</v>
      </c>
      <c r="T66" s="99">
        <f ca="1">T65</f>
        <v>21</v>
      </c>
      <c r="U66" s="100">
        <f ca="1">U64-U65</f>
        <v>-0.57142857142857206</v>
      </c>
      <c r="V66" s="85">
        <f t="array" aca="1" ref="V66" ca="1">_xlfn.STDEV.S(D60:D80-E60:E80)</f>
        <v>0.67612340378281321</v>
      </c>
      <c r="W66" s="85">
        <f ca="1">V66/SQRT(T66)</f>
        <v>0.14754222271266348</v>
      </c>
      <c r="X66" s="85">
        <f ca="1">(U64-U65-Z62)/W66</f>
        <v>-3.8729833462074215</v>
      </c>
      <c r="Y66" s="85">
        <f ca="1">T66-1</f>
        <v>20</v>
      </c>
      <c r="Z66" s="85">
        <f ca="1">ABS(U64-U65-Z62)/V66</f>
        <v>0.84515425472851757</v>
      </c>
      <c r="AA66" s="85">
        <f ca="1">SQRT(X66^2/(X66^2+Y66))</f>
        <v>0.65465367070797764</v>
      </c>
      <c r="AC66" t="s">
        <v>361</v>
      </c>
      <c r="AD66" s="74">
        <f ca="1">SUMPRODUCT(--ISNUMBER(D60:D80),--ISNUMBER(E60:E80),--(D60:D80&lt;&gt;E60:E80))</f>
        <v>10</v>
      </c>
    </row>
    <row r="67" spans="3:31" x14ac:dyDescent="0.3">
      <c r="C67" s="2" t="s">
        <v>292</v>
      </c>
      <c r="D67" s="37" cm="1">
        <f t="array" aca="1" ref="D67" ca="1">INDIRECT("'" &amp; C67 &amp; "'!$e$69")</f>
        <v>1</v>
      </c>
      <c r="E67" s="37" cm="1">
        <f t="array" aca="1" ref="E67" ca="1">INDIRECT("'" &amp; C67 &amp; "'!$f$69")</f>
        <v>2</v>
      </c>
      <c r="G67" t="s">
        <v>305</v>
      </c>
      <c r="H67">
        <f ca="1">_xlfn.STDEV.S(D60:D80)</f>
        <v>1.6532795690182995</v>
      </c>
      <c r="M67" t="s">
        <v>305</v>
      </c>
      <c r="N67">
        <f ca="1">_xlfn.STDEV.S(E60:E80)</f>
        <v>1.4458479140200706</v>
      </c>
      <c r="Q67" s="74"/>
      <c r="AC67" t="s">
        <v>362</v>
      </c>
      <c r="AD67" s="74">
        <f ca="1">IF(AD69&lt;=AD72,AD69,AD66*(AD66+1)/2)</f>
        <v>0</v>
      </c>
    </row>
    <row r="68" spans="3:31" ht="15" thickBot="1" x14ac:dyDescent="0.35">
      <c r="C68" s="2" t="s">
        <v>293</v>
      </c>
      <c r="D68" s="37" cm="1">
        <f t="array" aca="1" ref="D68" ca="1">INDIRECT("'" &amp; C68 &amp; "'!$e$69")</f>
        <v>7</v>
      </c>
      <c r="E68" s="37" cm="1">
        <f t="array" aca="1" ref="E68" ca="1">INDIRECT("'" &amp; C68 &amp; "'!$f$69")</f>
        <v>7</v>
      </c>
      <c r="G68" t="s">
        <v>306</v>
      </c>
      <c r="H68">
        <f ca="1">_xlfn.VAR.S(D60:D80)</f>
        <v>2.7333333333333343</v>
      </c>
      <c r="J68" t="s">
        <v>336</v>
      </c>
      <c r="M68" t="s">
        <v>306</v>
      </c>
      <c r="N68">
        <f ca="1">_xlfn.VAR.S(E60:E80)</f>
        <v>2.0904761904761897</v>
      </c>
      <c r="P68" t="s">
        <v>336</v>
      </c>
      <c r="Q68" s="90"/>
      <c r="S68" t="s">
        <v>350</v>
      </c>
      <c r="AC68" t="s">
        <v>363</v>
      </c>
      <c r="AD68" s="74">
        <f ca="1">AD66*(AD66+1)/2-AD67</f>
        <v>55</v>
      </c>
    </row>
    <row r="69" spans="3:31" ht="15" thickTop="1" x14ac:dyDescent="0.3">
      <c r="C69" s="2" t="s">
        <v>294</v>
      </c>
      <c r="D69" s="37" cm="1">
        <f t="array" aca="1" ref="D69" ca="1">INDIRECT("'" &amp; C69 &amp; "'!$e$69")</f>
        <v>4</v>
      </c>
      <c r="E69" s="37" cm="1">
        <f t="array" aca="1" ref="E69" ca="1">INDIRECT("'" &amp; C69 &amp; "'!$f$69")</f>
        <v>6</v>
      </c>
      <c r="G69" t="s">
        <v>307</v>
      </c>
      <c r="H69">
        <f ca="1">KURT(D60:D80)</f>
        <v>-0.42690754250289764</v>
      </c>
      <c r="M69" t="s">
        <v>307</v>
      </c>
      <c r="N69">
        <f ca="1">KURT(E60:E80)</f>
        <v>-0.30137649216934648</v>
      </c>
      <c r="S69" s="101" t="s">
        <v>351</v>
      </c>
      <c r="T69" s="101" t="s">
        <v>333</v>
      </c>
      <c r="U69" s="101" t="s">
        <v>352</v>
      </c>
      <c r="V69" s="101" t="s">
        <v>353</v>
      </c>
      <c r="W69" s="101" t="s">
        <v>354</v>
      </c>
      <c r="X69" s="101" t="s">
        <v>355</v>
      </c>
      <c r="AC69" t="s">
        <v>364</v>
      </c>
      <c r="AD69" s="75">
        <f ca="1">[1]!SRANK(D60:D80,E60:E80)</f>
        <v>0</v>
      </c>
    </row>
    <row r="70" spans="3:31" x14ac:dyDescent="0.3">
      <c r="C70" s="2" t="s">
        <v>295</v>
      </c>
      <c r="D70" s="37" cm="1">
        <f t="array" aca="1" ref="D70" ca="1">INDIRECT("'" &amp; C70 &amp; "'!$e$69")</f>
        <v>6</v>
      </c>
      <c r="E70" s="37" cm="1">
        <f t="array" aca="1" ref="E70" ca="1">INDIRECT("'" &amp; C70 &amp; "'!$f$69")</f>
        <v>6</v>
      </c>
      <c r="G70" t="s">
        <v>308</v>
      </c>
      <c r="H70">
        <f ca="1">SKEW(D60:D80)</f>
        <v>-0.29893514233634932</v>
      </c>
      <c r="J70" s="85" t="s">
        <v>337</v>
      </c>
      <c r="K70" s="85">
        <f ca="1">[1]!DAGOSTINO(D60:D80)</f>
        <v>0.48878741669598763</v>
      </c>
      <c r="M70" t="s">
        <v>308</v>
      </c>
      <c r="N70">
        <f ca="1">SKEW(E60:E80)</f>
        <v>-0.58574684308402614</v>
      </c>
      <c r="P70" s="94" t="s">
        <v>337</v>
      </c>
      <c r="Q70" s="95">
        <f ca="1">[1]!DAGOSTINO(E60:E80)</f>
        <v>1.474607908357952</v>
      </c>
      <c r="S70" t="s">
        <v>356</v>
      </c>
      <c r="T70">
        <f ca="1">_xlfn.T.DIST.RT(ABS(X66),Y66)</f>
        <v>4.7333540937809454E-4</v>
      </c>
      <c r="U70">
        <f ca="1">_xlfn.T.INV.2T(W62*2,Y66)</f>
        <v>1.7247182429207868</v>
      </c>
      <c r="X70" s="70" t="str">
        <f ca="1">IF(T70&lt;W62,"yes","no")</f>
        <v>yes</v>
      </c>
    </row>
    <row r="71" spans="3:31" x14ac:dyDescent="0.3">
      <c r="C71" s="2" t="s">
        <v>296</v>
      </c>
      <c r="D71" s="37" cm="1">
        <f t="array" aca="1" ref="D71" ca="1">INDIRECT("'" &amp; C71 &amp; "'!$e$69")</f>
        <v>5</v>
      </c>
      <c r="E71" s="37" cm="1">
        <f t="array" aca="1" ref="E71" ca="1">INDIRECT("'" &amp; C71 &amp; "'!$f$69")</f>
        <v>6</v>
      </c>
      <c r="G71" t="s">
        <v>309</v>
      </c>
      <c r="H71" s="65">
        <f ca="1">H72-H73</f>
        <v>6</v>
      </c>
      <c r="J71" t="s">
        <v>333</v>
      </c>
      <c r="K71">
        <f ca="1">[1]!DPTEST(D60:D80)</f>
        <v>0.78317922935548034</v>
      </c>
      <c r="M71" t="s">
        <v>309</v>
      </c>
      <c r="N71" s="65">
        <f ca="1">N72-N73</f>
        <v>5</v>
      </c>
      <c r="P71" t="s">
        <v>333</v>
      </c>
      <c r="Q71" s="74">
        <f ca="1">[1]!DPTEST(E60:E80)</f>
        <v>0.47840197204863255</v>
      </c>
      <c r="S71" t="s">
        <v>357</v>
      </c>
      <c r="T71">
        <f ca="1">_xlfn.T.DIST.2T(ABS(X66),Y66)</f>
        <v>9.4667081875618908E-4</v>
      </c>
      <c r="U71">
        <f ca="1">_xlfn.T.INV.2T(W62,Y66)</f>
        <v>2.0859634472658648</v>
      </c>
      <c r="V71">
        <f ca="1">(U64-U65)-W66*U71</f>
        <v>-0.87919625493554754</v>
      </c>
      <c r="W71">
        <f ca="1">(U64-U65)+W66*U71</f>
        <v>-0.26366088792159659</v>
      </c>
      <c r="X71" s="70" t="str">
        <f ca="1">IF(T71&lt;W62,"yes","no")</f>
        <v>yes</v>
      </c>
      <c r="AD71" s="70" t="s">
        <v>365</v>
      </c>
      <c r="AE71" s="70" t="s">
        <v>366</v>
      </c>
    </row>
    <row r="72" spans="3:31" x14ac:dyDescent="0.3">
      <c r="C72" s="2" t="s">
        <v>297</v>
      </c>
      <c r="D72" s="37" cm="1">
        <f t="array" aca="1" ref="D72" ca="1">INDIRECT("'" &amp; C72 &amp; "'!$e$69")</f>
        <v>4</v>
      </c>
      <c r="E72" s="37" cm="1">
        <f t="array" aca="1" ref="E72" ca="1">INDIRECT("'" &amp; C72 &amp; "'!$f$69")</f>
        <v>4</v>
      </c>
      <c r="G72" t="s">
        <v>310</v>
      </c>
      <c r="H72" s="65">
        <f ca="1">MAX(D60:D80)</f>
        <v>7</v>
      </c>
      <c r="J72" t="s">
        <v>334</v>
      </c>
      <c r="K72">
        <v>0.05</v>
      </c>
      <c r="M72" t="s">
        <v>310</v>
      </c>
      <c r="N72" s="65">
        <f ca="1">MAX(E60:E80)</f>
        <v>7</v>
      </c>
      <c r="P72" t="s">
        <v>334</v>
      </c>
      <c r="Q72" s="89">
        <v>0.05</v>
      </c>
      <c r="S72" s="85"/>
      <c r="T72" s="85"/>
      <c r="U72" s="85"/>
      <c r="V72" s="85"/>
      <c r="W72" s="85"/>
      <c r="X72" s="85"/>
      <c r="AC72" t="s">
        <v>367</v>
      </c>
      <c r="AD72" s="88">
        <f ca="1">AD66*(AD66+1)/4</f>
        <v>27.5</v>
      </c>
    </row>
    <row r="73" spans="3:31" x14ac:dyDescent="0.3">
      <c r="C73" s="2" t="s">
        <v>298</v>
      </c>
      <c r="D73" s="37" cm="1">
        <f t="array" aca="1" ref="D73" ca="1">INDIRECT("'" &amp; C73 &amp; "'!$e$69")</f>
        <v>5</v>
      </c>
      <c r="E73" s="37" cm="1">
        <f t="array" aca="1" ref="E73" ca="1">INDIRECT("'" &amp; C73 &amp; "'!$f$69")</f>
        <v>6</v>
      </c>
      <c r="G73" t="s">
        <v>311</v>
      </c>
      <c r="H73" s="65">
        <f ca="1">MIN(D60:D80)</f>
        <v>1</v>
      </c>
      <c r="J73" s="63" t="s">
        <v>335</v>
      </c>
      <c r="K73" s="66" t="str">
        <f ca="1">IF(K71&lt;K72,"no","yes")</f>
        <v>yes</v>
      </c>
      <c r="M73" t="s">
        <v>311</v>
      </c>
      <c r="N73" s="65">
        <f ca="1">MIN(E60:E80)</f>
        <v>2</v>
      </c>
      <c r="P73" s="63" t="s">
        <v>335</v>
      </c>
      <c r="Q73" s="93" t="str">
        <f ca="1">IF(Q71&lt;Q72,"no","yes")</f>
        <v>yes</v>
      </c>
      <c r="S73" s="63"/>
      <c r="T73" s="66"/>
      <c r="AC73" t="s">
        <v>368</v>
      </c>
      <c r="AD73" s="74">
        <f ca="1">SQRT(AD72*(2*AD66+1)/6-[1]!TiesCorrection(D60:D80,E60:E80,1)/48)</f>
        <v>9.2533777616608734</v>
      </c>
      <c r="AE73" t="s">
        <v>369</v>
      </c>
    </row>
    <row r="74" spans="3:31" x14ac:dyDescent="0.3">
      <c r="C74" s="2" t="s">
        <v>299</v>
      </c>
      <c r="D74" s="37" cm="1">
        <f t="array" aca="1" ref="D74" ca="1">INDIRECT("'" &amp; C74 &amp; "'!$e$69")</f>
        <v>2</v>
      </c>
      <c r="E74" s="37" cm="1">
        <f t="array" aca="1" ref="E74" ca="1">INDIRECT("'" &amp; C74 &amp; "'!$f$69")</f>
        <v>4</v>
      </c>
      <c r="G74" t="s">
        <v>312</v>
      </c>
      <c r="H74" s="65">
        <f ca="1">SUM(D60:D80)</f>
        <v>91</v>
      </c>
      <c r="M74" t="s">
        <v>312</v>
      </c>
      <c r="N74" s="65">
        <f ca="1">SUM(E60:E80)</f>
        <v>103</v>
      </c>
      <c r="Q74" s="74"/>
      <c r="AC74" t="s">
        <v>370</v>
      </c>
      <c r="AD74" s="74">
        <f ca="1">ABS(ABS(AD69-AD72)-1/2)/AD73</f>
        <v>2.9178534255748159</v>
      </c>
      <c r="AE74" t="s">
        <v>371</v>
      </c>
    </row>
    <row r="75" spans="3:31" x14ac:dyDescent="0.3">
      <c r="C75" s="2" t="s">
        <v>395</v>
      </c>
      <c r="D75" s="37" cm="1">
        <f t="array" aca="1" ref="D75" ca="1">INDIRECT("'" &amp; C75 &amp; "'!$e$69")</f>
        <v>4</v>
      </c>
      <c r="E75" s="37" cm="1">
        <f t="array" aca="1" ref="E75" ca="1">INDIRECT("'" &amp; C75 &amp; "'!$f$69")</f>
        <v>5</v>
      </c>
      <c r="G75" t="s">
        <v>313</v>
      </c>
      <c r="H75">
        <f ca="1">COUNT(D60:D80)</f>
        <v>21</v>
      </c>
      <c r="M75" t="s">
        <v>313</v>
      </c>
      <c r="N75">
        <f ca="1">COUNT(E60:E80)</f>
        <v>21</v>
      </c>
      <c r="Q75" s="90"/>
      <c r="AC75" t="s">
        <v>372</v>
      </c>
      <c r="AD75" s="74">
        <f ca="1">AD74/SQRT(AD66)</f>
        <v>0.9227062703341018</v>
      </c>
    </row>
    <row r="76" spans="3:31" x14ac:dyDescent="0.3">
      <c r="C76" s="2" t="s">
        <v>396</v>
      </c>
      <c r="D76" s="37" cm="1">
        <f t="array" aca="1" ref="D76" ca="1">INDIRECT("'" &amp; C76 &amp; "'!$e$69")</f>
        <v>4</v>
      </c>
      <c r="E76" s="37" cm="1">
        <f t="array" aca="1" ref="E76" ca="1">INDIRECT("'" &amp; C76 &amp; "'!$f$69")</f>
        <v>4</v>
      </c>
      <c r="G76" t="s">
        <v>314</v>
      </c>
      <c r="H76">
        <f ca="1">GEOMEAN(D60:D80)</f>
        <v>3.9428740723972133</v>
      </c>
      <c r="M76" t="s">
        <v>314</v>
      </c>
      <c r="N76">
        <f ca="1">GEOMEAN(E60:E80)</f>
        <v>4.653113237166556</v>
      </c>
      <c r="AC76" t="s">
        <v>373</v>
      </c>
      <c r="AD76" s="88">
        <f ca="1">1-_xlfn.NORM.S.DIST(AD74,TRUE)</f>
        <v>1.7622499059455343E-3</v>
      </c>
      <c r="AE76" s="104">
        <f ca="1">2*AD76</f>
        <v>3.5244998118910686E-3</v>
      </c>
    </row>
    <row r="77" spans="3:31" x14ac:dyDescent="0.3">
      <c r="C77" s="2" t="s">
        <v>397</v>
      </c>
      <c r="D77" s="37" cm="1">
        <f t="array" aca="1" ref="D77" ca="1">INDIRECT("'" &amp; C77 &amp; "'!$e$69")</f>
        <v>4</v>
      </c>
      <c r="E77" s="37" cm="1">
        <f t="array" aca="1" ref="E77" ca="1">INDIRECT("'" &amp; C77 &amp; "'!$f$69")</f>
        <v>5</v>
      </c>
      <c r="G77" t="s">
        <v>315</v>
      </c>
      <c r="H77">
        <f ca="1">HARMEAN(D60:D80)</f>
        <v>3.4319066147859925</v>
      </c>
      <c r="M77" t="s">
        <v>315</v>
      </c>
      <c r="N77">
        <f ca="1">HARMEAN(E60:E80)</f>
        <v>4.3426883308714919</v>
      </c>
      <c r="Q77" s="87"/>
      <c r="AC77" t="s">
        <v>374</v>
      </c>
      <c r="AD77" s="74">
        <f ca="1">[1]!SRDIST(AD69,AD66,1)</f>
        <v>9.765625E-4</v>
      </c>
      <c r="AE77" s="77">
        <f ca="1">2*AD77</f>
        <v>1.953125E-3</v>
      </c>
    </row>
    <row r="78" spans="3:31" x14ac:dyDescent="0.3">
      <c r="C78" s="2" t="s">
        <v>398</v>
      </c>
      <c r="D78" s="37" cm="1">
        <f t="array" aca="1" ref="D78" ca="1">INDIRECT("'" &amp; C78 &amp; "'!$e$69")</f>
        <v>3</v>
      </c>
      <c r="E78" s="37" cm="1">
        <f t="array" aca="1" ref="E78" ca="1">INDIRECT("'" &amp; C78 &amp; "'!$f$69")</f>
        <v>4</v>
      </c>
      <c r="G78" t="s">
        <v>316</v>
      </c>
      <c r="H78">
        <f ca="1">AVEDEV(D60:D80)</f>
        <v>1.3015873015873014</v>
      </c>
      <c r="M78" t="s">
        <v>316</v>
      </c>
      <c r="N78">
        <f ca="1">AVEDEV(E60:E80)</f>
        <v>1.165532879818594</v>
      </c>
      <c r="AC78" t="s">
        <v>375</v>
      </c>
      <c r="AD78" s="75" t="s">
        <v>376</v>
      </c>
      <c r="AE78" s="78" t="s">
        <v>376</v>
      </c>
    </row>
    <row r="79" spans="3:31" x14ac:dyDescent="0.3">
      <c r="C79" s="2" t="s">
        <v>399</v>
      </c>
      <c r="D79" s="37" cm="1">
        <f t="array" aca="1" ref="D79" ca="1">INDIRECT("'" &amp; C79 &amp; "'!$e$69")</f>
        <v>6</v>
      </c>
      <c r="E79" s="37" cm="1">
        <f t="array" aca="1" ref="E79" ca="1">INDIRECT("'" &amp; C79 &amp; "'!$f$69")</f>
        <v>6</v>
      </c>
      <c r="G79" t="s">
        <v>317</v>
      </c>
      <c r="H79">
        <f ca="1">[1]!MAD(D60:D80)</f>
        <v>1</v>
      </c>
      <c r="M79" t="s">
        <v>317</v>
      </c>
      <c r="N79">
        <f ca="1">[1]!MAD(E60:E80)</f>
        <v>1</v>
      </c>
    </row>
    <row r="80" spans="3:31" x14ac:dyDescent="0.3">
      <c r="C80" s="2" t="s">
        <v>400</v>
      </c>
      <c r="D80" s="37" cm="1">
        <f t="array" aca="1" ref="D80" ca="1">INDIRECT("'" &amp; C80 &amp; "'!$e$69")</f>
        <v>2</v>
      </c>
      <c r="E80" s="37" cm="1">
        <f t="array" aca="1" ref="E80" ca="1">INDIRECT("'" &amp; C80 &amp; "'!$f$69")</f>
        <v>2</v>
      </c>
      <c r="G80" s="63" t="s">
        <v>318</v>
      </c>
      <c r="H80" s="63">
        <f ca="1">[1]!IQR(D60:D80,FALSE)</f>
        <v>1</v>
      </c>
      <c r="M80" s="63" t="s">
        <v>318</v>
      </c>
      <c r="N80" s="63">
        <f ca="1">[1]!IQR(E60:E80,FALSE)</f>
        <v>2</v>
      </c>
    </row>
    <row r="84" spans="3:31" x14ac:dyDescent="0.3">
      <c r="C84" s="2"/>
      <c r="D84" s="58" t="s">
        <v>108</v>
      </c>
      <c r="E84" s="2"/>
    </row>
    <row r="85" spans="3:31" x14ac:dyDescent="0.3">
      <c r="C85" s="2"/>
      <c r="D85" s="2"/>
      <c r="E85" s="2"/>
    </row>
    <row r="86" spans="3:31" x14ac:dyDescent="0.3">
      <c r="C86" s="2" t="s">
        <v>285</v>
      </c>
      <c r="D86" s="37" cm="1">
        <f t="array" aca="1" ref="D86" ca="1">INDIRECT("'" &amp; C86 &amp; "'!$e$70")</f>
        <v>2</v>
      </c>
      <c r="E86" s="37" cm="1">
        <f t="array" aca="1" ref="E86" ca="1">INDIRECT("'" &amp; C86 &amp; "'!$f$70")</f>
        <v>2</v>
      </c>
      <c r="G86" t="s">
        <v>300</v>
      </c>
      <c r="J86" t="s">
        <v>331</v>
      </c>
      <c r="M86" t="s">
        <v>300</v>
      </c>
      <c r="P86" t="s">
        <v>331</v>
      </c>
      <c r="Q86" s="87"/>
      <c r="S86" t="s">
        <v>338</v>
      </c>
      <c r="AC86" t="s">
        <v>358</v>
      </c>
    </row>
    <row r="87" spans="3:31" x14ac:dyDescent="0.3">
      <c r="C87" s="2" t="s">
        <v>286</v>
      </c>
      <c r="D87" s="37" cm="1">
        <f t="array" aca="1" ref="D87" ca="1">INDIRECT("'" &amp; C87 &amp; "'!$e$70")</f>
        <v>2</v>
      </c>
      <c r="E87" s="37" cm="1">
        <f t="array" aca="1" ref="E87" ca="1">INDIRECT("'" &amp; C87 &amp; "'!$f$70")</f>
        <v>2</v>
      </c>
    </row>
    <row r="88" spans="3:31" ht="15" thickBot="1" x14ac:dyDescent="0.35">
      <c r="C88" s="2" t="s">
        <v>287</v>
      </c>
      <c r="D88" s="37" cm="1">
        <f t="array" aca="1" ref="D88" ca="1">INDIRECT("'" &amp; C88 &amp; "'!$e$70")</f>
        <v>2</v>
      </c>
      <c r="E88" s="37" cm="1">
        <f t="array" aca="1" ref="E88" ca="1">INDIRECT("'" &amp; C88 &amp; "'!$f$70")</f>
        <v>2</v>
      </c>
      <c r="G88" s="64"/>
      <c r="H88" s="64" t="s">
        <v>379</v>
      </c>
      <c r="J88" s="64"/>
      <c r="K88" s="64" t="s">
        <v>379</v>
      </c>
      <c r="M88" s="64"/>
      <c r="N88" s="86" t="s">
        <v>379</v>
      </c>
      <c r="P88" s="92"/>
      <c r="Q88" s="91" t="s">
        <v>379</v>
      </c>
      <c r="S88" s="79" t="s">
        <v>339</v>
      </c>
      <c r="T88" s="96"/>
      <c r="V88" t="s">
        <v>340</v>
      </c>
      <c r="W88">
        <v>0.05</v>
      </c>
      <c r="Y88" t="s">
        <v>341</v>
      </c>
      <c r="Z88">
        <v>0</v>
      </c>
      <c r="AD88" t="s">
        <v>381</v>
      </c>
      <c r="AE88" t="s">
        <v>382</v>
      </c>
    </row>
    <row r="89" spans="3:31" ht="15" thickTop="1" x14ac:dyDescent="0.3">
      <c r="C89" s="2" t="s">
        <v>288</v>
      </c>
      <c r="D89" s="37" cm="1">
        <f t="array" aca="1" ref="D89" ca="1">INDIRECT("'" &amp; C89 &amp; "'!$e$70")</f>
        <v>6</v>
      </c>
      <c r="E89" s="37" cm="1">
        <f t="array" aca="1" ref="E89" ca="1">INDIRECT("'" &amp; C89 &amp; "'!$f$70")</f>
        <v>5</v>
      </c>
      <c r="G89" t="s">
        <v>301</v>
      </c>
      <c r="H89" s="65">
        <f ca="1">AVERAGE(D86:D106)</f>
        <v>2.4761904761904763</v>
      </c>
      <c r="J89" t="s">
        <v>332</v>
      </c>
      <c r="K89">
        <f ca="1">[1]!SHAPIRO(D86:D106)</f>
        <v>0.81731518166570072</v>
      </c>
      <c r="M89" t="s">
        <v>301</v>
      </c>
      <c r="N89" s="65">
        <f ca="1">AVERAGE(E86:E106)</f>
        <v>2</v>
      </c>
      <c r="P89" t="s">
        <v>332</v>
      </c>
      <c r="Q89" s="74">
        <f ca="1">[1]!SHAPIRO(E86:E106)</f>
        <v>0.78310204107322301</v>
      </c>
      <c r="S89" s="97" t="s">
        <v>342</v>
      </c>
      <c r="T89" s="97" t="s">
        <v>313</v>
      </c>
      <c r="U89" s="97" t="s">
        <v>301</v>
      </c>
      <c r="V89" s="97" t="s">
        <v>343</v>
      </c>
      <c r="W89" s="97" t="s">
        <v>344</v>
      </c>
      <c r="X89" s="97" t="s">
        <v>345</v>
      </c>
      <c r="Y89" s="97" t="s">
        <v>346</v>
      </c>
      <c r="Z89" s="97" t="s">
        <v>347</v>
      </c>
      <c r="AA89" s="97" t="s">
        <v>348</v>
      </c>
      <c r="AC89" t="s">
        <v>359</v>
      </c>
      <c r="AD89" s="102">
        <f ca="1">MEDIAN(D86:D106)</f>
        <v>2</v>
      </c>
      <c r="AE89" s="103">
        <f ca="1">MEDIAN(E86:E106)</f>
        <v>2</v>
      </c>
    </row>
    <row r="90" spans="3:31" x14ac:dyDescent="0.3">
      <c r="C90" s="2" t="s">
        <v>289</v>
      </c>
      <c r="D90" s="37" cm="1">
        <f t="array" aca="1" ref="D90" ca="1">INDIRECT("'" &amp; C90 &amp; "'!$e$70")</f>
        <v>1</v>
      </c>
      <c r="E90" s="37" cm="1">
        <f t="array" aca="1" ref="E90" ca="1">INDIRECT("'" &amp; C90 &amp; "'!$f$70")</f>
        <v>1</v>
      </c>
      <c r="G90" t="s">
        <v>302</v>
      </c>
      <c r="H90">
        <f ca="1">_xlfn.STDEV.S(D86:D106)/SQRT(COUNT(D86:D106))</f>
        <v>0.35603001223845232</v>
      </c>
      <c r="J90" t="s">
        <v>333</v>
      </c>
      <c r="K90">
        <f ca="1">[1]!SWTEST(D86:D106)</f>
        <v>1.2217802851842707E-3</v>
      </c>
      <c r="M90" t="s">
        <v>302</v>
      </c>
      <c r="N90">
        <f ca="1">_xlfn.STDEV.S(E86:E106)/SQRT(COUNT(E86:E106))</f>
        <v>0.24880667576405968</v>
      </c>
      <c r="P90" t="s">
        <v>333</v>
      </c>
      <c r="Q90" s="74">
        <f ca="1">[1]!SWTEST(E86:E106)</f>
        <v>3.6601552707427043E-4</v>
      </c>
      <c r="S90" t="s">
        <v>379</v>
      </c>
      <c r="T90">
        <f ca="1">COUNT(D86:D106)</f>
        <v>21</v>
      </c>
      <c r="U90" s="65">
        <f ca="1">AVERAGE(D86:D106)</f>
        <v>2.4761904761904763</v>
      </c>
      <c r="V90">
        <f ca="1">_xlfn.STDEV.S(D86:D106)</f>
        <v>1.6315344807587617</v>
      </c>
    </row>
    <row r="91" spans="3:31" x14ac:dyDescent="0.3">
      <c r="C91" s="2" t="s">
        <v>290</v>
      </c>
      <c r="D91" s="37" cm="1">
        <f t="array" aca="1" ref="D91" ca="1">INDIRECT("'" &amp; C91 &amp; "'!$e$70")</f>
        <v>2</v>
      </c>
      <c r="E91" s="37" cm="1">
        <f t="array" aca="1" ref="E91" ca="1">INDIRECT("'" &amp; C91 &amp; "'!$f$70")</f>
        <v>1</v>
      </c>
      <c r="G91" t="s">
        <v>303</v>
      </c>
      <c r="H91" s="65">
        <f ca="1">MEDIAN(D86:D106)</f>
        <v>2</v>
      </c>
      <c r="J91" t="s">
        <v>334</v>
      </c>
      <c r="K91">
        <v>0.05</v>
      </c>
      <c r="M91" t="s">
        <v>303</v>
      </c>
      <c r="N91" s="65">
        <f ca="1">MEDIAN(E86:E106)</f>
        <v>2</v>
      </c>
      <c r="P91" t="s">
        <v>334</v>
      </c>
      <c r="Q91" s="74">
        <v>0.05</v>
      </c>
      <c r="S91" t="s">
        <v>380</v>
      </c>
      <c r="T91">
        <f ca="1">COUNT(E86:E106)</f>
        <v>21</v>
      </c>
      <c r="U91" s="65">
        <f ca="1">AVERAGE(E86:E106)</f>
        <v>2</v>
      </c>
      <c r="V91">
        <f ca="1">_xlfn.STDEV.S(E86:E106)</f>
        <v>1.1401754250991381</v>
      </c>
      <c r="AC91" t="s">
        <v>360</v>
      </c>
      <c r="AD91" s="88">
        <f ca="1">SUMPRODUCT(--ISNUMBER(D86:D106),--ISNUMBER(E86:E106))</f>
        <v>21</v>
      </c>
    </row>
    <row r="92" spans="3:31" x14ac:dyDescent="0.3">
      <c r="C92" s="2" t="s">
        <v>291</v>
      </c>
      <c r="D92" s="37" cm="1">
        <f t="array" aca="1" ref="D92" ca="1">INDIRECT("'" &amp; C92 &amp; "'!$e$70")</f>
        <v>1</v>
      </c>
      <c r="E92" s="37" cm="1">
        <f t="array" aca="1" ref="E92" ca="1">INDIRECT("'" &amp; C92 &amp; "'!$f$70")</f>
        <v>1</v>
      </c>
      <c r="G92" t="s">
        <v>304</v>
      </c>
      <c r="H92">
        <f ca="1">MODE(D86:D106)</f>
        <v>2</v>
      </c>
      <c r="J92" s="63" t="s">
        <v>335</v>
      </c>
      <c r="K92" s="66" t="str">
        <f ca="1">IF(K90&lt;K91,"no","yes")</f>
        <v>no</v>
      </c>
      <c r="M92" t="s">
        <v>304</v>
      </c>
      <c r="N92">
        <f ca="1">MODE(E86:E106)</f>
        <v>2</v>
      </c>
      <c r="P92" s="63" t="s">
        <v>335</v>
      </c>
      <c r="Q92" s="93" t="str">
        <f ca="1">IF(Q90&lt;Q91,"no","yes")</f>
        <v>no</v>
      </c>
      <c r="S92" s="98" t="s">
        <v>349</v>
      </c>
      <c r="T92" s="99">
        <f ca="1">T91</f>
        <v>21</v>
      </c>
      <c r="U92" s="100">
        <f ca="1">U90-U91</f>
        <v>0.47619047619047628</v>
      </c>
      <c r="V92" s="85">
        <f t="array" aca="1" ref="V92" ca="1">_xlfn.STDEV.S(D86:D106-E86:E106)</f>
        <v>1.123345344008138</v>
      </c>
      <c r="W92" s="85">
        <f ca="1">V92/SQRT(T92)</f>
        <v>0.24513405097588098</v>
      </c>
      <c r="X92" s="85">
        <f ca="1">(U90-U91-Z88)/W92</f>
        <v>1.9425717247145287</v>
      </c>
      <c r="Y92" s="85">
        <f ca="1">T92-1</f>
        <v>20</v>
      </c>
      <c r="Z92" s="85">
        <f ca="1">ABS(U90-U91-Z88)/V92</f>
        <v>0.42390390339929745</v>
      </c>
      <c r="AA92" s="85">
        <f ca="1">SQRT(X92^2/(X92^2+Y92))</f>
        <v>0.39840953644479793</v>
      </c>
      <c r="AC92" t="s">
        <v>361</v>
      </c>
      <c r="AD92" s="74">
        <f ca="1">SUMPRODUCT(--ISNUMBER(D86:D106),--ISNUMBER(E86:E106),--(D86:D106&lt;&gt;E86:E106))</f>
        <v>7</v>
      </c>
    </row>
    <row r="93" spans="3:31" x14ac:dyDescent="0.3">
      <c r="C93" s="2" t="s">
        <v>292</v>
      </c>
      <c r="D93" s="37" cm="1">
        <f t="array" aca="1" ref="D93" ca="1">INDIRECT("'" &amp; C93 &amp; "'!$e$70")</f>
        <v>1</v>
      </c>
      <c r="E93" s="37" cm="1">
        <f t="array" aca="1" ref="E93" ca="1">INDIRECT("'" &amp; C93 &amp; "'!$f$70")</f>
        <v>1</v>
      </c>
      <c r="G93" t="s">
        <v>305</v>
      </c>
      <c r="H93">
        <f ca="1">_xlfn.STDEV.S(D86:D106)</f>
        <v>1.6315344807587617</v>
      </c>
      <c r="M93" t="s">
        <v>305</v>
      </c>
      <c r="N93">
        <f ca="1">_xlfn.STDEV.S(E86:E106)</f>
        <v>1.1401754250991381</v>
      </c>
      <c r="Q93" s="74"/>
      <c r="AC93" t="s">
        <v>362</v>
      </c>
      <c r="AD93" s="74">
        <f ca="1">IF(AD95&lt;=AD98,AD95,AD92*(AD92+1)/2)</f>
        <v>3</v>
      </c>
    </row>
    <row r="94" spans="3:31" ht="15" thickBot="1" x14ac:dyDescent="0.35">
      <c r="C94" s="2" t="s">
        <v>293</v>
      </c>
      <c r="D94" s="37" cm="1">
        <f t="array" aca="1" ref="D94" ca="1">INDIRECT("'" &amp; C94 &amp; "'!$e$70")</f>
        <v>1</v>
      </c>
      <c r="E94" s="37" cm="1">
        <f t="array" aca="1" ref="E94" ca="1">INDIRECT("'" &amp; C94 &amp; "'!$f$70")</f>
        <v>1</v>
      </c>
      <c r="G94" t="s">
        <v>306</v>
      </c>
      <c r="H94">
        <f ca="1">_xlfn.VAR.S(D86:D106)</f>
        <v>2.6619047619047622</v>
      </c>
      <c r="J94" t="s">
        <v>336</v>
      </c>
      <c r="M94" t="s">
        <v>306</v>
      </c>
      <c r="N94">
        <f ca="1">_xlfn.VAR.S(E86:E106)</f>
        <v>1.3</v>
      </c>
      <c r="P94" t="s">
        <v>336</v>
      </c>
      <c r="Q94" s="90"/>
      <c r="S94" t="s">
        <v>350</v>
      </c>
      <c r="AC94" t="s">
        <v>363</v>
      </c>
      <c r="AD94" s="74">
        <f ca="1">AD92*(AD92+1)/2-AD93</f>
        <v>25</v>
      </c>
    </row>
    <row r="95" spans="3:31" ht="15" thickTop="1" x14ac:dyDescent="0.3">
      <c r="C95" s="2" t="s">
        <v>294</v>
      </c>
      <c r="D95" s="37" cm="1">
        <f t="array" aca="1" ref="D95" ca="1">INDIRECT("'" &amp; C95 &amp; "'!$e$70")</f>
        <v>1</v>
      </c>
      <c r="E95" s="37" cm="1">
        <f t="array" aca="1" ref="E95" ca="1">INDIRECT("'" &amp; C95 &amp; "'!$f$70")</f>
        <v>1</v>
      </c>
      <c r="G95" t="s">
        <v>307</v>
      </c>
      <c r="H95">
        <f ca="1">KURT(D86:D106)</f>
        <v>0.24204082134509575</v>
      </c>
      <c r="M95" t="s">
        <v>307</v>
      </c>
      <c r="N95">
        <f ca="1">KURT(E86:E106)</f>
        <v>1.3671753347866678</v>
      </c>
      <c r="S95" s="101" t="s">
        <v>351</v>
      </c>
      <c r="T95" s="101" t="s">
        <v>333</v>
      </c>
      <c r="U95" s="101" t="s">
        <v>352</v>
      </c>
      <c r="V95" s="101" t="s">
        <v>353</v>
      </c>
      <c r="W95" s="101" t="s">
        <v>354</v>
      </c>
      <c r="X95" s="101" t="s">
        <v>355</v>
      </c>
      <c r="AC95" t="s">
        <v>364</v>
      </c>
      <c r="AD95" s="75">
        <f ca="1">[1]!SRANK(D86:D106,E86:E106)</f>
        <v>3</v>
      </c>
    </row>
    <row r="96" spans="3:31" x14ac:dyDescent="0.3">
      <c r="C96" s="2" t="s">
        <v>295</v>
      </c>
      <c r="D96" s="37" cm="1">
        <f t="array" aca="1" ref="D96" ca="1">INDIRECT("'" &amp; C96 &amp; "'!$e$70")</f>
        <v>1</v>
      </c>
      <c r="E96" s="37" cm="1">
        <f t="array" aca="1" ref="E96" ca="1">INDIRECT("'" &amp; C96 &amp; "'!$f$70")</f>
        <v>2</v>
      </c>
      <c r="G96" t="s">
        <v>308</v>
      </c>
      <c r="H96">
        <f ca="1">SKEW(D86:D106)</f>
        <v>1.1156747019847302</v>
      </c>
      <c r="J96" s="85" t="s">
        <v>337</v>
      </c>
      <c r="K96" s="85">
        <f ca="1">[1]!DAGOSTINO(D86:D106)</f>
        <v>4.901773264741367</v>
      </c>
      <c r="M96" t="s">
        <v>308</v>
      </c>
      <c r="N96">
        <f ca="1">SKEW(E86:E106)</f>
        <v>1.3422183453362633</v>
      </c>
      <c r="P96" s="94" t="s">
        <v>337</v>
      </c>
      <c r="Q96" s="95">
        <f ca="1">[1]!DAGOSTINO(E86:E106)</f>
        <v>8.2366496449641513</v>
      </c>
      <c r="S96" t="s">
        <v>356</v>
      </c>
      <c r="T96">
        <f ca="1">_xlfn.T.DIST.RT(ABS(X92),Y92)</f>
        <v>3.3140838301053036E-2</v>
      </c>
      <c r="U96">
        <f ca="1">_xlfn.T.INV.2T(W88*2,Y92)</f>
        <v>1.7247182429207868</v>
      </c>
      <c r="X96" s="70" t="str">
        <f ca="1">IF(T96&lt;W88,"yes","no")</f>
        <v>yes</v>
      </c>
    </row>
    <row r="97" spans="3:31" x14ac:dyDescent="0.3">
      <c r="C97" s="2" t="s">
        <v>296</v>
      </c>
      <c r="D97" s="37" cm="1">
        <f t="array" aca="1" ref="D97" ca="1">INDIRECT("'" &amp; C97 &amp; "'!$e$70")</f>
        <v>4</v>
      </c>
      <c r="E97" s="37" cm="1">
        <f t="array" aca="1" ref="E97" ca="1">INDIRECT("'" &amp; C97 &amp; "'!$f$70")</f>
        <v>4</v>
      </c>
      <c r="G97" t="s">
        <v>309</v>
      </c>
      <c r="H97" s="65">
        <f ca="1">H98-H99</f>
        <v>5</v>
      </c>
      <c r="J97" t="s">
        <v>333</v>
      </c>
      <c r="K97">
        <f ca="1">[1]!DPTEST(D86:D106)</f>
        <v>8.6217109720601592E-2</v>
      </c>
      <c r="M97" t="s">
        <v>309</v>
      </c>
      <c r="N97" s="65">
        <f ca="1">N98-N99</f>
        <v>4</v>
      </c>
      <c r="P97" t="s">
        <v>333</v>
      </c>
      <c r="Q97" s="74">
        <f ca="1">[1]!DPTEST(E86:E106)</f>
        <v>1.6271749692903681E-2</v>
      </c>
      <c r="S97" t="s">
        <v>357</v>
      </c>
      <c r="T97">
        <f ca="1">_xlfn.T.DIST.2T(ABS(X92),Y92)</f>
        <v>6.6281676602106071E-2</v>
      </c>
      <c r="U97">
        <f ca="1">_xlfn.T.INV.2T(W88,Y92)</f>
        <v>2.0859634472658648</v>
      </c>
      <c r="V97">
        <f ca="1">(U90-U91)-W92*U97</f>
        <v>-3.5150193825418619E-2</v>
      </c>
      <c r="W97">
        <f ca="1">(U90-U91)+W92*U97</f>
        <v>0.98753114620637117</v>
      </c>
      <c r="X97" s="70" t="str">
        <f ca="1">IF(T97&lt;W88,"yes","no")</f>
        <v>no</v>
      </c>
      <c r="AD97" s="70" t="s">
        <v>365</v>
      </c>
      <c r="AE97" s="70" t="s">
        <v>366</v>
      </c>
    </row>
    <row r="98" spans="3:31" x14ac:dyDescent="0.3">
      <c r="C98" s="2" t="s">
        <v>297</v>
      </c>
      <c r="D98" s="37" cm="1">
        <f t="array" aca="1" ref="D98" ca="1">INDIRECT("'" &amp; C98 &amp; "'!$e$70")</f>
        <v>3</v>
      </c>
      <c r="E98" s="37" cm="1">
        <f t="array" aca="1" ref="E98" ca="1">INDIRECT("'" &amp; C98 &amp; "'!$f$70")</f>
        <v>2</v>
      </c>
      <c r="G98" t="s">
        <v>310</v>
      </c>
      <c r="H98" s="65">
        <f ca="1">MAX(D86:D106)</f>
        <v>6</v>
      </c>
      <c r="J98" t="s">
        <v>334</v>
      </c>
      <c r="K98">
        <v>0.05</v>
      </c>
      <c r="M98" t="s">
        <v>310</v>
      </c>
      <c r="N98" s="65">
        <f ca="1">MAX(E86:E106)</f>
        <v>5</v>
      </c>
      <c r="P98" t="s">
        <v>334</v>
      </c>
      <c r="Q98" s="89">
        <v>0.05</v>
      </c>
      <c r="S98" s="85"/>
      <c r="T98" s="85"/>
      <c r="U98" s="85"/>
      <c r="V98" s="85"/>
      <c r="W98" s="85"/>
      <c r="X98" s="85"/>
      <c r="AC98" t="s">
        <v>367</v>
      </c>
      <c r="AD98" s="88">
        <f ca="1">AD92*(AD92+1)/4</f>
        <v>14</v>
      </c>
    </row>
    <row r="99" spans="3:31" x14ac:dyDescent="0.3">
      <c r="C99" s="2" t="s">
        <v>298</v>
      </c>
      <c r="D99" s="37" cm="1">
        <f t="array" aca="1" ref="D99" ca="1">INDIRECT("'" &amp; C99 &amp; "'!$e$70")</f>
        <v>2</v>
      </c>
      <c r="E99" s="37" cm="1">
        <f t="array" aca="1" ref="E99" ca="1">INDIRECT("'" &amp; C99 &amp; "'!$f$70")</f>
        <v>1</v>
      </c>
      <c r="G99" t="s">
        <v>311</v>
      </c>
      <c r="H99" s="65">
        <f ca="1">MIN(D86:D106)</f>
        <v>1</v>
      </c>
      <c r="J99" s="63" t="s">
        <v>335</v>
      </c>
      <c r="K99" s="66" t="str">
        <f ca="1">IF(K97&lt;K98,"no","yes")</f>
        <v>yes</v>
      </c>
      <c r="M99" t="s">
        <v>311</v>
      </c>
      <c r="N99" s="65">
        <f ca="1">MIN(E86:E106)</f>
        <v>1</v>
      </c>
      <c r="P99" s="63" t="s">
        <v>335</v>
      </c>
      <c r="Q99" s="93" t="str">
        <f ca="1">IF(Q97&lt;Q98,"no","yes")</f>
        <v>no</v>
      </c>
      <c r="S99" s="63"/>
      <c r="T99" s="66"/>
      <c r="AC99" t="s">
        <v>368</v>
      </c>
      <c r="AD99" s="74">
        <f ca="1">SQRT(AD98*(2*AD92+1)/6-[1]!TiesCorrection(D86:D106,E86:E106,1)/48)</f>
        <v>5.7008771254956896</v>
      </c>
      <c r="AE99" t="s">
        <v>369</v>
      </c>
    </row>
    <row r="100" spans="3:31" x14ac:dyDescent="0.3">
      <c r="C100" s="2" t="s">
        <v>299</v>
      </c>
      <c r="D100" s="37" cm="1">
        <f t="array" aca="1" ref="D100" ca="1">INDIRECT("'" &amp; C100 &amp; "'!$e$70")</f>
        <v>6</v>
      </c>
      <c r="E100" s="37" cm="1">
        <f t="array" aca="1" ref="E100" ca="1">INDIRECT("'" &amp; C100 &amp; "'!$f$70")</f>
        <v>2</v>
      </c>
      <c r="G100" t="s">
        <v>312</v>
      </c>
      <c r="H100" s="65">
        <f ca="1">SUM(D86:D106)</f>
        <v>52</v>
      </c>
      <c r="M100" t="s">
        <v>312</v>
      </c>
      <c r="N100" s="65">
        <f ca="1">SUM(E86:E106)</f>
        <v>42</v>
      </c>
      <c r="Q100" s="74"/>
      <c r="AC100" t="s">
        <v>370</v>
      </c>
      <c r="AD100" s="74">
        <f ca="1">ABS(ABS(AD95-AD98)-1/2)/AD99</f>
        <v>1.8418218405447615</v>
      </c>
      <c r="AE100" t="s">
        <v>371</v>
      </c>
    </row>
    <row r="101" spans="3:31" x14ac:dyDescent="0.3">
      <c r="C101" s="2" t="s">
        <v>395</v>
      </c>
      <c r="D101" s="37" cm="1">
        <f t="array" aca="1" ref="D101" ca="1">INDIRECT("'" &amp; C101 &amp; "'!$e$70")</f>
        <v>2</v>
      </c>
      <c r="E101" s="37" cm="1">
        <f t="array" aca="1" ref="E101" ca="1">INDIRECT("'" &amp; C101 &amp; "'!$f$70")</f>
        <v>2</v>
      </c>
      <c r="G101" t="s">
        <v>313</v>
      </c>
      <c r="H101">
        <f ca="1">COUNT(D86:D106)</f>
        <v>21</v>
      </c>
      <c r="M101" t="s">
        <v>313</v>
      </c>
      <c r="N101">
        <f ca="1">COUNT(E86:E106)</f>
        <v>21</v>
      </c>
      <c r="Q101" s="90"/>
      <c r="AC101" t="s">
        <v>372</v>
      </c>
      <c r="AD101" s="74">
        <f ca="1">AD100/SQRT(AD92)</f>
        <v>0.69614322133838569</v>
      </c>
    </row>
    <row r="102" spans="3:31" x14ac:dyDescent="0.3">
      <c r="C102" s="2" t="s">
        <v>396</v>
      </c>
      <c r="D102" s="37" cm="1">
        <f t="array" aca="1" ref="D102" ca="1">INDIRECT("'" &amp; C102 &amp; "'!$e$70")</f>
        <v>3</v>
      </c>
      <c r="E102" s="37" cm="1">
        <f t="array" aca="1" ref="E102" ca="1">INDIRECT("'" &amp; C102 &amp; "'!$f$70")</f>
        <v>3</v>
      </c>
      <c r="G102" t="s">
        <v>314</v>
      </c>
      <c r="H102">
        <f ca="1">GEOMEAN(D86:D106)</f>
        <v>2.0441672542435243</v>
      </c>
      <c r="M102" t="s">
        <v>314</v>
      </c>
      <c r="N102">
        <f ca="1">GEOMEAN(E86:E106)</f>
        <v>1.7472548222090121</v>
      </c>
      <c r="AC102" t="s">
        <v>373</v>
      </c>
      <c r="AD102" s="88">
        <f ca="1">1-_xlfn.NORM.S.DIST(AD100,TRUE)</f>
        <v>3.2750607128465559E-2</v>
      </c>
      <c r="AE102" s="104">
        <f ca="1">2*AD102</f>
        <v>6.5501214256931117E-2</v>
      </c>
    </row>
    <row r="103" spans="3:31" x14ac:dyDescent="0.3">
      <c r="C103" s="2" t="s">
        <v>397</v>
      </c>
      <c r="D103" s="37" cm="1">
        <f t="array" aca="1" ref="D103" ca="1">INDIRECT("'" &amp; C103 &amp; "'!$e$70")</f>
        <v>1</v>
      </c>
      <c r="E103" s="37" cm="1">
        <f t="array" aca="1" ref="E103" ca="1">INDIRECT("'" &amp; C103 &amp; "'!$f$70")</f>
        <v>1</v>
      </c>
      <c r="G103" t="s">
        <v>315</v>
      </c>
      <c r="H103">
        <f ca="1">HARMEAN(D86:D106)</f>
        <v>1.721311475409836</v>
      </c>
      <c r="M103" t="s">
        <v>315</v>
      </c>
      <c r="N103">
        <f ca="1">HARMEAN(E86:E106)</f>
        <v>1.5517241379310345</v>
      </c>
      <c r="Q103" s="87"/>
      <c r="AC103" t="s">
        <v>374</v>
      </c>
      <c r="AD103" s="74">
        <f ca="1">[1]!SRDIST(AD95,AD92,1)</f>
        <v>3.90625E-2</v>
      </c>
      <c r="AE103" s="77">
        <f ca="1">2*AD103</f>
        <v>7.8125E-2</v>
      </c>
    </row>
    <row r="104" spans="3:31" x14ac:dyDescent="0.3">
      <c r="C104" s="2" t="s">
        <v>398</v>
      </c>
      <c r="D104" s="37" cm="1">
        <f t="array" aca="1" ref="D104" ca="1">INDIRECT("'" &amp; C104 &amp; "'!$e$70")</f>
        <v>5</v>
      </c>
      <c r="E104" s="37" cm="1">
        <f t="array" aca="1" ref="E104" ca="1">INDIRECT("'" &amp; C104 &amp; "'!$f$70")</f>
        <v>2</v>
      </c>
      <c r="G104" t="s">
        <v>316</v>
      </c>
      <c r="H104">
        <f ca="1">AVEDEV(D86:D106)</f>
        <v>1.3015873015873016</v>
      </c>
      <c r="M104" t="s">
        <v>316</v>
      </c>
      <c r="N104">
        <f ca="1">AVEDEV(E86:E106)</f>
        <v>0.76190476190476186</v>
      </c>
      <c r="AC104" t="s">
        <v>375</v>
      </c>
      <c r="AD104" s="75" t="s">
        <v>376</v>
      </c>
      <c r="AE104" s="78" t="s">
        <v>376</v>
      </c>
    </row>
    <row r="105" spans="3:31" x14ac:dyDescent="0.3">
      <c r="C105" s="2" t="s">
        <v>399</v>
      </c>
      <c r="D105" s="37" cm="1">
        <f t="array" aca="1" ref="D105" ca="1">INDIRECT("'" &amp; C105 &amp; "'!$e$70")</f>
        <v>2</v>
      </c>
      <c r="E105" s="37" cm="1">
        <f t="array" aca="1" ref="E105" ca="1">INDIRECT("'" &amp; C105 &amp; "'!$f$70")</f>
        <v>2</v>
      </c>
      <c r="G105" t="s">
        <v>317</v>
      </c>
      <c r="H105">
        <f ca="1">[1]!MAD(D86:D106)</f>
        <v>1</v>
      </c>
      <c r="M105" t="s">
        <v>317</v>
      </c>
      <c r="N105">
        <f ca="1">[1]!MAD(E86:E106)</f>
        <v>1</v>
      </c>
    </row>
    <row r="106" spans="3:31" x14ac:dyDescent="0.3">
      <c r="C106" s="2" t="s">
        <v>400</v>
      </c>
      <c r="D106" s="37" cm="1">
        <f t="array" aca="1" ref="D106" ca="1">INDIRECT("'" &amp; C106 &amp; "'!$e$70")</f>
        <v>4</v>
      </c>
      <c r="E106" s="37" cm="1">
        <f t="array" aca="1" ref="E106" ca="1">INDIRECT("'" &amp; C106 &amp; "'!$f$70")</f>
        <v>4</v>
      </c>
      <c r="G106" s="63" t="s">
        <v>318</v>
      </c>
      <c r="H106" s="63">
        <f ca="1">[1]!IQR(D86:D106,FALSE)</f>
        <v>2</v>
      </c>
      <c r="M106" s="63" t="s">
        <v>318</v>
      </c>
      <c r="N106" s="63">
        <f ca="1">[1]!IQR(E86:E106,FALSE)</f>
        <v>1</v>
      </c>
    </row>
    <row r="110" spans="3:31" x14ac:dyDescent="0.3">
      <c r="C110" s="2"/>
      <c r="D110" s="2"/>
      <c r="E110" s="2"/>
    </row>
    <row r="111" spans="3:31" x14ac:dyDescent="0.3">
      <c r="C111" s="2"/>
      <c r="D111" s="2"/>
      <c r="E111" s="2"/>
    </row>
    <row r="112" spans="3:31" x14ac:dyDescent="0.3">
      <c r="C112" s="2"/>
      <c r="D112" s="37"/>
      <c r="E112" s="37"/>
    </row>
    <row r="113" spans="3:31" x14ac:dyDescent="0.3">
      <c r="C113" s="2"/>
      <c r="D113" s="37"/>
      <c r="E113" s="37"/>
    </row>
    <row r="114" spans="3:31" x14ac:dyDescent="0.3">
      <c r="C114" s="2"/>
      <c r="D114" s="37"/>
      <c r="E114" s="37"/>
      <c r="G114" s="79"/>
      <c r="H114" s="79"/>
      <c r="J114" s="79"/>
      <c r="K114" s="79"/>
      <c r="M114" s="79"/>
      <c r="N114" s="96"/>
      <c r="P114" s="79"/>
      <c r="Q114" s="96"/>
      <c r="S114" s="79"/>
      <c r="T114" s="96"/>
    </row>
    <row r="115" spans="3:31" x14ac:dyDescent="0.3">
      <c r="C115" s="2"/>
      <c r="D115" s="37"/>
      <c r="E115" s="37"/>
      <c r="H115" s="65"/>
      <c r="N115" s="65"/>
      <c r="S115" s="79"/>
      <c r="T115" s="79"/>
      <c r="U115" s="79"/>
      <c r="V115" s="79"/>
      <c r="W115" s="79"/>
      <c r="X115" s="79"/>
      <c r="Y115" s="79"/>
      <c r="Z115" s="79"/>
      <c r="AA115" s="79"/>
      <c r="AD115" s="65"/>
      <c r="AE115" s="65"/>
    </row>
    <row r="116" spans="3:31" x14ac:dyDescent="0.3">
      <c r="C116" s="2"/>
      <c r="D116" s="37"/>
      <c r="E116" s="37"/>
      <c r="U116" s="65"/>
    </row>
    <row r="117" spans="3:31" x14ac:dyDescent="0.3">
      <c r="C117" s="2"/>
      <c r="D117" s="37"/>
      <c r="E117" s="37"/>
      <c r="H117" s="65"/>
      <c r="N117" s="65"/>
      <c r="U117" s="65"/>
    </row>
    <row r="118" spans="3:31" x14ac:dyDescent="0.3">
      <c r="C118" s="2"/>
      <c r="D118" s="37"/>
      <c r="E118" s="37"/>
      <c r="K118" s="80"/>
      <c r="Q118" s="80"/>
      <c r="T118" s="80"/>
      <c r="U118" s="65"/>
    </row>
    <row r="119" spans="3:31" x14ac:dyDescent="0.3">
      <c r="C119" s="2"/>
      <c r="D119" s="37"/>
      <c r="E119" s="37"/>
    </row>
    <row r="120" spans="3:31" x14ac:dyDescent="0.3">
      <c r="C120" s="2"/>
      <c r="D120" s="37"/>
      <c r="E120" s="37"/>
      <c r="Q120" s="65"/>
    </row>
    <row r="121" spans="3:31" x14ac:dyDescent="0.3">
      <c r="C121" s="2"/>
      <c r="D121" s="37"/>
      <c r="E121" s="37"/>
      <c r="S121" s="79"/>
      <c r="T121" s="79"/>
      <c r="U121" s="79"/>
      <c r="V121" s="79"/>
      <c r="W121" s="79"/>
      <c r="X121" s="79"/>
    </row>
    <row r="122" spans="3:31" x14ac:dyDescent="0.3">
      <c r="C122" s="2"/>
      <c r="D122" s="37"/>
      <c r="E122" s="37"/>
      <c r="X122" s="70"/>
    </row>
    <row r="123" spans="3:31" x14ac:dyDescent="0.3">
      <c r="C123" s="2"/>
      <c r="D123" s="37"/>
      <c r="E123" s="37"/>
      <c r="H123" s="65"/>
      <c r="N123" s="65"/>
      <c r="X123" s="70"/>
      <c r="AD123" s="70"/>
      <c r="AE123" s="70"/>
    </row>
    <row r="124" spans="3:31" x14ac:dyDescent="0.3">
      <c r="C124" s="2"/>
      <c r="D124" s="37"/>
      <c r="E124" s="37"/>
      <c r="H124" s="65"/>
      <c r="N124" s="65"/>
      <c r="Q124" s="65"/>
    </row>
    <row r="125" spans="3:31" x14ac:dyDescent="0.3">
      <c r="C125" s="2"/>
      <c r="D125" s="37"/>
      <c r="E125" s="37"/>
      <c r="H125" s="65"/>
      <c r="K125" s="80"/>
      <c r="N125" s="65"/>
      <c r="Q125" s="80"/>
      <c r="T125" s="80"/>
    </row>
    <row r="126" spans="3:31" x14ac:dyDescent="0.3">
      <c r="C126" s="2"/>
      <c r="D126" s="37"/>
      <c r="E126" s="37"/>
      <c r="H126" s="65"/>
      <c r="N126" s="65"/>
    </row>
    <row r="127" spans="3:31" x14ac:dyDescent="0.3">
      <c r="C127" s="2"/>
      <c r="D127" s="37"/>
      <c r="E127" s="37"/>
      <c r="Q127" s="65"/>
    </row>
    <row r="128" spans="3:31" x14ac:dyDescent="0.3">
      <c r="C128" s="2"/>
      <c r="D128" s="37"/>
      <c r="E128" s="37"/>
    </row>
    <row r="129" spans="3:31" x14ac:dyDescent="0.3">
      <c r="C129" s="2"/>
      <c r="D129" s="37"/>
      <c r="E129" s="37"/>
    </row>
    <row r="130" spans="3:31" x14ac:dyDescent="0.3">
      <c r="C130" s="2"/>
      <c r="D130" s="37"/>
      <c r="E130" s="37"/>
    </row>
    <row r="131" spans="3:31" x14ac:dyDescent="0.3">
      <c r="C131" s="2"/>
      <c r="D131" s="37"/>
      <c r="E131" s="37"/>
    </row>
    <row r="132" spans="3:31" x14ac:dyDescent="0.3">
      <c r="C132" s="2"/>
      <c r="D132" s="37"/>
      <c r="E132" s="37"/>
    </row>
    <row r="136" spans="3:31" x14ac:dyDescent="0.3">
      <c r="C136" s="2"/>
      <c r="D136" s="2"/>
      <c r="E136" s="2"/>
    </row>
    <row r="137" spans="3:31" x14ac:dyDescent="0.3">
      <c r="C137" s="2"/>
      <c r="D137" s="2"/>
      <c r="E137" s="2"/>
    </row>
    <row r="138" spans="3:31" x14ac:dyDescent="0.3">
      <c r="C138" s="2"/>
      <c r="D138" s="37"/>
      <c r="E138" s="37"/>
    </row>
    <row r="139" spans="3:31" x14ac:dyDescent="0.3">
      <c r="C139" s="2"/>
      <c r="D139" s="37"/>
      <c r="E139" s="37"/>
    </row>
    <row r="140" spans="3:31" x14ac:dyDescent="0.3">
      <c r="C140" s="2"/>
      <c r="D140" s="37"/>
      <c r="E140" s="37"/>
      <c r="G140" s="79"/>
      <c r="H140" s="79"/>
      <c r="J140" s="79"/>
      <c r="K140" s="79"/>
      <c r="M140" s="79"/>
      <c r="N140" s="96"/>
      <c r="P140" s="79"/>
      <c r="Q140" s="96"/>
      <c r="S140" s="79"/>
      <c r="T140" s="96"/>
    </row>
    <row r="141" spans="3:31" x14ac:dyDescent="0.3">
      <c r="C141" s="2"/>
      <c r="D141" s="37"/>
      <c r="E141" s="37"/>
      <c r="H141" s="65"/>
      <c r="N141" s="65"/>
      <c r="S141" s="79"/>
      <c r="T141" s="79"/>
      <c r="U141" s="79"/>
      <c r="V141" s="79"/>
      <c r="W141" s="79"/>
      <c r="X141" s="79"/>
      <c r="Y141" s="79"/>
      <c r="Z141" s="79"/>
      <c r="AA141" s="79"/>
      <c r="AD141" s="65"/>
      <c r="AE141" s="65"/>
    </row>
    <row r="142" spans="3:31" x14ac:dyDescent="0.3">
      <c r="C142" s="2"/>
      <c r="D142" s="37"/>
      <c r="E142" s="37"/>
      <c r="U142" s="65"/>
    </row>
    <row r="143" spans="3:31" x14ac:dyDescent="0.3">
      <c r="C143" s="2"/>
      <c r="D143" s="37"/>
      <c r="E143" s="37"/>
      <c r="H143" s="65"/>
      <c r="N143" s="65"/>
      <c r="U143" s="65"/>
    </row>
    <row r="144" spans="3:31" x14ac:dyDescent="0.3">
      <c r="C144" s="2"/>
      <c r="D144" s="37"/>
      <c r="E144" s="37"/>
      <c r="K144" s="80"/>
      <c r="Q144" s="80"/>
      <c r="T144" s="80"/>
      <c r="U144" s="65"/>
    </row>
    <row r="145" spans="3:31" x14ac:dyDescent="0.3">
      <c r="C145" s="2"/>
      <c r="D145" s="37"/>
      <c r="E145" s="37"/>
    </row>
    <row r="146" spans="3:31" x14ac:dyDescent="0.3">
      <c r="C146" s="2"/>
      <c r="D146" s="37"/>
      <c r="E146" s="37"/>
      <c r="Q146" s="65"/>
    </row>
    <row r="147" spans="3:31" x14ac:dyDescent="0.3">
      <c r="C147" s="2"/>
      <c r="D147" s="37"/>
      <c r="E147" s="37"/>
      <c r="S147" s="79"/>
      <c r="T147" s="79"/>
      <c r="U147" s="79"/>
      <c r="V147" s="79"/>
      <c r="W147" s="79"/>
      <c r="X147" s="79"/>
    </row>
    <row r="148" spans="3:31" x14ac:dyDescent="0.3">
      <c r="C148" s="2"/>
      <c r="D148" s="37"/>
      <c r="E148" s="37"/>
      <c r="X148" s="70"/>
    </row>
    <row r="149" spans="3:31" x14ac:dyDescent="0.3">
      <c r="C149" s="2"/>
      <c r="D149" s="37"/>
      <c r="E149" s="37"/>
      <c r="H149" s="65"/>
      <c r="N149" s="65"/>
      <c r="X149" s="70"/>
      <c r="AD149" s="70"/>
      <c r="AE149" s="70"/>
    </row>
    <row r="150" spans="3:31" x14ac:dyDescent="0.3">
      <c r="C150" s="2"/>
      <c r="D150" s="37"/>
      <c r="E150" s="37"/>
      <c r="H150" s="65"/>
      <c r="N150" s="65"/>
      <c r="Q150" s="65"/>
    </row>
    <row r="151" spans="3:31" x14ac:dyDescent="0.3">
      <c r="C151" s="2"/>
      <c r="D151" s="37"/>
      <c r="E151" s="37"/>
      <c r="H151" s="65"/>
      <c r="K151" s="80"/>
      <c r="N151" s="65"/>
      <c r="Q151" s="80"/>
      <c r="T151" s="80"/>
    </row>
    <row r="152" spans="3:31" x14ac:dyDescent="0.3">
      <c r="C152" s="2"/>
      <c r="D152" s="37"/>
      <c r="E152" s="37"/>
      <c r="H152" s="65"/>
      <c r="N152" s="65"/>
    </row>
    <row r="153" spans="3:31" x14ac:dyDescent="0.3">
      <c r="C153" s="2"/>
      <c r="D153" s="37"/>
      <c r="E153" s="37"/>
      <c r="Q153" s="65"/>
    </row>
    <row r="154" spans="3:31" x14ac:dyDescent="0.3">
      <c r="C154" s="2"/>
      <c r="D154" s="37"/>
      <c r="E154" s="37"/>
    </row>
    <row r="155" spans="3:31" x14ac:dyDescent="0.3">
      <c r="C155" s="2"/>
      <c r="D155" s="37"/>
      <c r="E155" s="37"/>
    </row>
    <row r="156" spans="3:31" x14ac:dyDescent="0.3">
      <c r="C156" s="2"/>
      <c r="D156" s="37"/>
      <c r="E156" s="37"/>
    </row>
    <row r="157" spans="3:31" x14ac:dyDescent="0.3">
      <c r="C157" s="2"/>
      <c r="D157" s="37"/>
      <c r="E157" s="37"/>
    </row>
    <row r="158" spans="3:31" x14ac:dyDescent="0.3">
      <c r="C158" s="2"/>
      <c r="D158" s="37"/>
      <c r="E158" s="37"/>
    </row>
    <row r="162" spans="3:31" x14ac:dyDescent="0.3">
      <c r="C162" s="2"/>
      <c r="D162" s="2"/>
      <c r="E162" s="2"/>
    </row>
    <row r="163" spans="3:31" x14ac:dyDescent="0.3">
      <c r="C163" s="2"/>
      <c r="D163" s="2"/>
      <c r="E163" s="2"/>
    </row>
    <row r="164" spans="3:31" x14ac:dyDescent="0.3">
      <c r="C164" s="2"/>
      <c r="D164" s="37"/>
      <c r="E164" s="37"/>
    </row>
    <row r="165" spans="3:31" x14ac:dyDescent="0.3">
      <c r="C165" s="2"/>
      <c r="D165" s="37"/>
      <c r="E165" s="37"/>
    </row>
    <row r="166" spans="3:31" x14ac:dyDescent="0.3">
      <c r="C166" s="2"/>
      <c r="D166" s="37"/>
      <c r="E166" s="37"/>
      <c r="G166" s="79"/>
      <c r="H166" s="79"/>
      <c r="J166" s="79"/>
      <c r="K166" s="79"/>
      <c r="M166" s="79"/>
      <c r="N166" s="96"/>
      <c r="P166" s="79"/>
      <c r="Q166" s="96"/>
      <c r="S166" s="79"/>
      <c r="T166" s="96"/>
    </row>
    <row r="167" spans="3:31" x14ac:dyDescent="0.3">
      <c r="C167" s="2"/>
      <c r="D167" s="37"/>
      <c r="E167" s="37"/>
      <c r="H167" s="65"/>
      <c r="N167" s="65"/>
      <c r="S167" s="79"/>
      <c r="T167" s="79"/>
      <c r="U167" s="79"/>
      <c r="V167" s="79"/>
      <c r="W167" s="79"/>
      <c r="X167" s="79"/>
      <c r="Y167" s="79"/>
      <c r="Z167" s="79"/>
      <c r="AA167" s="79"/>
      <c r="AD167" s="65"/>
      <c r="AE167" s="65"/>
    </row>
    <row r="168" spans="3:31" x14ac:dyDescent="0.3">
      <c r="C168" s="2"/>
      <c r="D168" s="37"/>
      <c r="E168" s="37"/>
      <c r="U168" s="65"/>
    </row>
    <row r="169" spans="3:31" x14ac:dyDescent="0.3">
      <c r="C169" s="2"/>
      <c r="D169" s="37"/>
      <c r="E169" s="37"/>
      <c r="H169" s="65"/>
      <c r="N169" s="65"/>
      <c r="U169" s="65"/>
    </row>
    <row r="170" spans="3:31" x14ac:dyDescent="0.3">
      <c r="C170" s="2"/>
      <c r="D170" s="37"/>
      <c r="E170" s="37"/>
      <c r="K170" s="80"/>
      <c r="Q170" s="80"/>
      <c r="T170" s="80"/>
      <c r="U170" s="65"/>
    </row>
    <row r="171" spans="3:31" x14ac:dyDescent="0.3">
      <c r="C171" s="2"/>
      <c r="D171" s="37"/>
      <c r="E171" s="37"/>
    </row>
    <row r="172" spans="3:31" x14ac:dyDescent="0.3">
      <c r="C172" s="2"/>
      <c r="D172" s="37"/>
      <c r="E172" s="37"/>
      <c r="Q172" s="65"/>
    </row>
    <row r="173" spans="3:31" x14ac:dyDescent="0.3">
      <c r="C173" s="2"/>
      <c r="D173" s="37"/>
      <c r="E173" s="37"/>
      <c r="S173" s="79"/>
      <c r="T173" s="79"/>
      <c r="U173" s="79"/>
      <c r="V173" s="79"/>
      <c r="W173" s="79"/>
      <c r="X173" s="79"/>
    </row>
    <row r="174" spans="3:31" x14ac:dyDescent="0.3">
      <c r="C174" s="2"/>
      <c r="D174" s="37"/>
      <c r="E174" s="37"/>
      <c r="X174" s="70"/>
    </row>
    <row r="175" spans="3:31" x14ac:dyDescent="0.3">
      <c r="C175" s="2"/>
      <c r="D175" s="37"/>
      <c r="E175" s="37"/>
      <c r="H175" s="65"/>
      <c r="N175" s="65"/>
      <c r="X175" s="70"/>
      <c r="AD175" s="70"/>
      <c r="AE175" s="70"/>
    </row>
    <row r="176" spans="3:31" x14ac:dyDescent="0.3">
      <c r="C176" s="2"/>
      <c r="D176" s="37"/>
      <c r="E176" s="37"/>
      <c r="H176" s="65"/>
      <c r="N176" s="65"/>
      <c r="Q176" s="65"/>
    </row>
    <row r="177" spans="3:20" x14ac:dyDescent="0.3">
      <c r="C177" s="2"/>
      <c r="D177" s="37"/>
      <c r="E177" s="37"/>
      <c r="H177" s="65"/>
      <c r="K177" s="80"/>
      <c r="N177" s="65"/>
      <c r="Q177" s="80"/>
      <c r="T177" s="80"/>
    </row>
    <row r="178" spans="3:20" x14ac:dyDescent="0.3">
      <c r="C178" s="2"/>
      <c r="D178" s="37"/>
      <c r="E178" s="37"/>
      <c r="H178" s="65"/>
      <c r="N178" s="65"/>
    </row>
    <row r="179" spans="3:20" x14ac:dyDescent="0.3">
      <c r="C179" s="2"/>
      <c r="D179" s="37"/>
      <c r="E179" s="37"/>
      <c r="Q179" s="65"/>
    </row>
    <row r="180" spans="3:20" x14ac:dyDescent="0.3">
      <c r="C180" s="2"/>
      <c r="D180" s="37"/>
      <c r="E180" s="37"/>
    </row>
    <row r="181" spans="3:20" x14ac:dyDescent="0.3">
      <c r="C181" s="2"/>
      <c r="D181" s="37"/>
      <c r="E181" s="37"/>
    </row>
    <row r="182" spans="3:20" x14ac:dyDescent="0.3">
      <c r="C182" s="2"/>
      <c r="D182" s="37"/>
      <c r="E182" s="37"/>
    </row>
    <row r="183" spans="3:20" x14ac:dyDescent="0.3">
      <c r="C183" s="2"/>
      <c r="D183" s="37"/>
      <c r="E183" s="37"/>
    </row>
    <row r="184" spans="3:20" x14ac:dyDescent="0.3">
      <c r="C184" s="2"/>
      <c r="D184" s="37"/>
      <c r="E184" s="37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63D7-FE42-43A0-90E4-D8B744F64063}">
  <sheetPr>
    <tabColor theme="7" tint="0.59999389629810485"/>
  </sheetPr>
  <dimension ref="C4:AK194"/>
  <sheetViews>
    <sheetView showGridLines="0" topLeftCell="J1" zoomScale="45" zoomScaleNormal="100" workbookViewId="0">
      <selection activeCell="Z20" sqref="Z20:AD22"/>
    </sheetView>
  </sheetViews>
  <sheetFormatPr defaultRowHeight="14.4" x14ac:dyDescent="0.3"/>
  <cols>
    <col min="4" max="5" width="9" bestFit="1" customWidth="1"/>
    <col min="8" max="8" width="9" bestFit="1" customWidth="1"/>
    <col min="11" max="11" width="9" bestFit="1" customWidth="1"/>
    <col min="14" max="14" width="9" bestFit="1" customWidth="1"/>
    <col min="17" max="17" width="9" bestFit="1" customWidth="1"/>
    <col min="20" max="20" width="13" bestFit="1" customWidth="1"/>
    <col min="21" max="25" width="9" bestFit="1" customWidth="1"/>
    <col min="26" max="26" width="13" bestFit="1" customWidth="1"/>
    <col min="27" max="28" width="9" bestFit="1" customWidth="1"/>
    <col min="29" max="29" width="12.44140625" customWidth="1"/>
    <col min="30" max="30" width="12" bestFit="1" customWidth="1"/>
    <col min="31" max="31" width="13" bestFit="1" customWidth="1"/>
    <col min="32" max="33" width="9" bestFit="1" customWidth="1"/>
    <col min="36" max="37" width="13" bestFit="1" customWidth="1"/>
  </cols>
  <sheetData>
    <row r="4" spans="3:37" x14ac:dyDescent="0.3">
      <c r="C4" s="2"/>
      <c r="D4" s="59" t="s">
        <v>401</v>
      </c>
      <c r="E4" s="2"/>
      <c r="F4" s="2"/>
      <c r="G4" s="2" t="s">
        <v>300</v>
      </c>
      <c r="H4" s="2"/>
      <c r="I4" s="2"/>
      <c r="J4" s="2" t="s">
        <v>319</v>
      </c>
      <c r="K4" s="49">
        <v>2.2000000000000002</v>
      </c>
      <c r="L4" s="2"/>
      <c r="M4" s="2" t="s">
        <v>331</v>
      </c>
      <c r="N4" s="2"/>
      <c r="O4" s="2"/>
      <c r="P4" s="2" t="s">
        <v>300</v>
      </c>
      <c r="Q4" s="2"/>
      <c r="R4" s="2"/>
      <c r="S4" s="2" t="s">
        <v>319</v>
      </c>
      <c r="T4" s="49">
        <v>2.2000000000000002</v>
      </c>
      <c r="U4" s="2"/>
      <c r="V4" s="2" t="s">
        <v>331</v>
      </c>
      <c r="W4" s="2"/>
      <c r="X4" s="2"/>
      <c r="Y4" s="2" t="s">
        <v>338</v>
      </c>
      <c r="Z4" s="2"/>
      <c r="AA4" s="2"/>
      <c r="AB4" s="2"/>
      <c r="AC4" s="2"/>
      <c r="AD4" s="2"/>
      <c r="AE4" s="2"/>
      <c r="AF4" s="2"/>
      <c r="AG4" s="2"/>
      <c r="AH4" s="2"/>
      <c r="AI4" s="2" t="s">
        <v>358</v>
      </c>
      <c r="AJ4" s="2"/>
      <c r="AK4" s="2"/>
    </row>
    <row r="5" spans="3:37" x14ac:dyDescent="0.3">
      <c r="C5" s="2"/>
      <c r="D5" s="2" t="s">
        <v>430</v>
      </c>
      <c r="E5" s="2" t="s">
        <v>431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3:37" ht="15" thickBot="1" x14ac:dyDescent="0.35">
      <c r="C6" s="2" t="s">
        <v>285</v>
      </c>
      <c r="D6" s="37" cm="1">
        <f t="array" aca="1" ref="D6" ca="1">INDIRECT("'" &amp; C6 &amp; "'!$L$78")</f>
        <v>3.6666666666666665</v>
      </c>
      <c r="E6" s="37" cm="1">
        <f t="array" aca="1" ref="E6" ca="1">INDIRECT("'" &amp; C6 &amp; "'!$M$78")</f>
        <v>3.8333333333333335</v>
      </c>
      <c r="F6" s="2"/>
      <c r="G6" s="33"/>
      <c r="H6" s="33" t="s">
        <v>379</v>
      </c>
      <c r="I6" s="2"/>
      <c r="J6" s="2"/>
      <c r="K6" s="46" t="s">
        <v>379</v>
      </c>
      <c r="L6" s="2"/>
      <c r="M6" s="33"/>
      <c r="N6" s="33" t="s">
        <v>379</v>
      </c>
      <c r="O6" s="2"/>
      <c r="P6" s="33"/>
      <c r="Q6" s="33" t="s">
        <v>379</v>
      </c>
      <c r="R6" s="2"/>
      <c r="S6" s="2"/>
      <c r="T6" s="46" t="s">
        <v>379</v>
      </c>
      <c r="U6" s="2"/>
      <c r="V6" s="33"/>
      <c r="W6" s="33" t="s">
        <v>379</v>
      </c>
      <c r="X6" s="2"/>
      <c r="Y6" s="2" t="s">
        <v>339</v>
      </c>
      <c r="Z6" s="2"/>
      <c r="AA6" s="2"/>
      <c r="AB6" s="2" t="s">
        <v>340</v>
      </c>
      <c r="AC6" s="2">
        <v>0.05</v>
      </c>
      <c r="AD6" s="2"/>
      <c r="AE6" s="2" t="s">
        <v>341</v>
      </c>
      <c r="AF6" s="2">
        <v>0</v>
      </c>
      <c r="AG6" s="2"/>
      <c r="AH6" s="2"/>
      <c r="AI6" s="2"/>
      <c r="AJ6" s="2" t="s">
        <v>381</v>
      </c>
      <c r="AK6" s="2" t="s">
        <v>382</v>
      </c>
    </row>
    <row r="7" spans="3:37" ht="15" thickTop="1" x14ac:dyDescent="0.3">
      <c r="C7" s="2" t="s">
        <v>286</v>
      </c>
      <c r="D7" s="37" cm="1">
        <f t="array" aca="1" ref="D7" ca="1">INDIRECT("'" &amp; C7 &amp; "'!$L$78")</f>
        <v>3.1666666666666665</v>
      </c>
      <c r="E7" s="37" cm="1">
        <f t="array" aca="1" ref="E7" ca="1">INDIRECT("'" &amp; C7 &amp; "'!$M$78")</f>
        <v>3.6666666666666665</v>
      </c>
      <c r="F7" s="2"/>
      <c r="G7" s="2" t="s">
        <v>301</v>
      </c>
      <c r="H7" s="37">
        <f ca="1">AVERAGE(D6:D26)</f>
        <v>2.5</v>
      </c>
      <c r="I7" s="2"/>
      <c r="J7" s="2" t="s">
        <v>322</v>
      </c>
      <c r="K7" s="50">
        <f ca="1">K14-$K21</f>
        <v>1</v>
      </c>
      <c r="L7" s="2"/>
      <c r="M7" s="2" t="s">
        <v>332</v>
      </c>
      <c r="N7" s="2">
        <f ca="1">[1]!SHAPIRO(D6:D26)</f>
        <v>0.91091829072708286</v>
      </c>
      <c r="O7" s="2"/>
      <c r="P7" s="2" t="s">
        <v>301</v>
      </c>
      <c r="Q7" s="37">
        <f ca="1">AVERAGE(E6:E26)</f>
        <v>4.1031746031746028</v>
      </c>
      <c r="R7" s="2"/>
      <c r="S7" s="2" t="s">
        <v>322</v>
      </c>
      <c r="T7" s="50">
        <f ca="1">T14-$T21</f>
        <v>2</v>
      </c>
      <c r="U7" s="2"/>
      <c r="V7" s="2" t="s">
        <v>332</v>
      </c>
      <c r="W7" s="2">
        <f ca="1">[1]!SHAPIRO(E6:E26)</f>
        <v>0.95788875819360542</v>
      </c>
      <c r="X7" s="2"/>
      <c r="Y7" s="42" t="s">
        <v>342</v>
      </c>
      <c r="Z7" s="42" t="s">
        <v>313</v>
      </c>
      <c r="AA7" s="42" t="s">
        <v>301</v>
      </c>
      <c r="AB7" s="42" t="s">
        <v>343</v>
      </c>
      <c r="AC7" s="42" t="s">
        <v>344</v>
      </c>
      <c r="AD7" s="42" t="s">
        <v>345</v>
      </c>
      <c r="AE7" s="42" t="s">
        <v>346</v>
      </c>
      <c r="AF7" s="42" t="s">
        <v>347</v>
      </c>
      <c r="AG7" s="42" t="s">
        <v>348</v>
      </c>
      <c r="AH7" s="2"/>
      <c r="AI7" s="2" t="s">
        <v>359</v>
      </c>
      <c r="AJ7" s="52">
        <f ca="1">MEDIAN(D6:D26)</f>
        <v>2.3333333333333335</v>
      </c>
      <c r="AK7" s="53">
        <f ca="1">MEDIAN(E6:E26)</f>
        <v>4</v>
      </c>
    </row>
    <row r="8" spans="3:37" x14ac:dyDescent="0.3">
      <c r="C8" s="2" t="s">
        <v>287</v>
      </c>
      <c r="D8" s="37" cm="1">
        <f t="array" aca="1" ref="D8" ca="1">INDIRECT("'" &amp; C8 &amp; "'!$L$78")</f>
        <v>2</v>
      </c>
      <c r="E8" s="37" cm="1">
        <f t="array" aca="1" ref="E8" ca="1">INDIRECT("'" &amp; C8 &amp; "'!$M$78")</f>
        <v>5</v>
      </c>
      <c r="F8" s="2"/>
      <c r="G8" s="2" t="s">
        <v>302</v>
      </c>
      <c r="H8" s="2">
        <f ca="1">_xlfn.STDEV.S(D6:D26)/SQRT(COUNT(D6:D26))</f>
        <v>0.24933774718103191</v>
      </c>
      <c r="I8" s="2"/>
      <c r="J8" s="2" t="s">
        <v>326</v>
      </c>
      <c r="K8" s="38">
        <f ca="1">MAX(K15-K14,0)</f>
        <v>0.66666666666666674</v>
      </c>
      <c r="L8" s="2"/>
      <c r="M8" s="2" t="s">
        <v>333</v>
      </c>
      <c r="N8" s="2">
        <f ca="1">[1]!SWTEST(D6:D26)</f>
        <v>5.7252113972259155E-2</v>
      </c>
      <c r="O8" s="2"/>
      <c r="P8" s="2" t="s">
        <v>302</v>
      </c>
      <c r="Q8" s="2">
        <f ca="1">_xlfn.STDEV.S(E6:E26)/SQRT(COUNT(E6:E26))</f>
        <v>0.29151950720125253</v>
      </c>
      <c r="R8" s="2"/>
      <c r="S8" s="2" t="s">
        <v>326</v>
      </c>
      <c r="T8" s="38">
        <f ca="1">MAX(T15-T14,0)</f>
        <v>1.5</v>
      </c>
      <c r="U8" s="2"/>
      <c r="V8" s="2" t="s">
        <v>333</v>
      </c>
      <c r="W8" s="2">
        <f ca="1">[1]!SWTEST(E6:E26)</f>
        <v>0.47466187286806472</v>
      </c>
      <c r="X8" s="2"/>
      <c r="Y8" s="2" t="s">
        <v>379</v>
      </c>
      <c r="Z8" s="2">
        <f ca="1">COUNT(D6:D26)</f>
        <v>21</v>
      </c>
      <c r="AA8" s="37">
        <f ca="1">AVERAGE(D6:D26)</f>
        <v>2.5</v>
      </c>
      <c r="AB8" s="2">
        <f ca="1">_xlfn.STDEV.S(D6:D26)</f>
        <v>1.1426091000668408</v>
      </c>
      <c r="AC8" s="2"/>
      <c r="AD8" s="2"/>
      <c r="AE8" s="2"/>
      <c r="AF8" s="2"/>
      <c r="AG8" s="2"/>
      <c r="AH8" s="2"/>
      <c r="AI8" s="2"/>
      <c r="AJ8" s="2"/>
      <c r="AK8" s="2"/>
    </row>
    <row r="9" spans="3:37" x14ac:dyDescent="0.3">
      <c r="C9" s="2" t="s">
        <v>288</v>
      </c>
      <c r="D9" s="37" cm="1">
        <f t="array" aca="1" ref="D9" ca="1">INDIRECT("'" &amp; C9 &amp; "'!$L$78")</f>
        <v>1.5</v>
      </c>
      <c r="E9" s="37" cm="1">
        <f t="array" aca="1" ref="E9" ca="1">INDIRECT("'" &amp; C9 &amp; "'!$M$78")</f>
        <v>4.5</v>
      </c>
      <c r="F9" s="2"/>
      <c r="G9" s="2" t="s">
        <v>303</v>
      </c>
      <c r="H9" s="37">
        <f ca="1">MEDIAN(D6:D26)</f>
        <v>2.3333333333333335</v>
      </c>
      <c r="I9" s="2"/>
      <c r="J9" s="2" t="s">
        <v>327</v>
      </c>
      <c r="K9" s="38">
        <f ca="1">MAX(K16-K15,0)</f>
        <v>0.66666666666666674</v>
      </c>
      <c r="L9" s="2"/>
      <c r="M9" s="2" t="s">
        <v>334</v>
      </c>
      <c r="N9" s="2">
        <v>0.05</v>
      </c>
      <c r="O9" s="2"/>
      <c r="P9" s="2" t="s">
        <v>303</v>
      </c>
      <c r="Q9" s="37">
        <f ca="1">MEDIAN(E6:E26)</f>
        <v>4</v>
      </c>
      <c r="R9" s="2"/>
      <c r="S9" s="2" t="s">
        <v>327</v>
      </c>
      <c r="T9" s="38">
        <f ca="1">MAX(T16-T15,0)</f>
        <v>0.5</v>
      </c>
      <c r="U9" s="2"/>
      <c r="V9" s="2" t="s">
        <v>334</v>
      </c>
      <c r="W9" s="2">
        <v>0.05</v>
      </c>
      <c r="X9" s="2"/>
      <c r="Y9" s="2" t="s">
        <v>380</v>
      </c>
      <c r="Z9" s="2">
        <f ca="1">COUNT(E6:E26)</f>
        <v>21</v>
      </c>
      <c r="AA9" s="37">
        <f ca="1">AVERAGE(E6:E26)</f>
        <v>4.1031746031746028</v>
      </c>
      <c r="AB9" s="2">
        <f ca="1">_xlfn.STDEV.S(E6:E26)</f>
        <v>1.3359102083059637</v>
      </c>
      <c r="AC9" s="2"/>
      <c r="AD9" s="2"/>
      <c r="AE9" s="2"/>
      <c r="AF9" s="2"/>
      <c r="AG9" s="2"/>
      <c r="AH9" s="2"/>
      <c r="AI9" s="2" t="s">
        <v>360</v>
      </c>
      <c r="AJ9" s="50">
        <f ca="1">SUMPRODUCT(--ISNUMBER(D6:D26),--ISNUMBER(E6:E26))</f>
        <v>21</v>
      </c>
      <c r="AK9" s="2"/>
    </row>
    <row r="10" spans="3:37" x14ac:dyDescent="0.3">
      <c r="C10" s="2" t="s">
        <v>289</v>
      </c>
      <c r="D10" s="37" cm="1">
        <f t="array" aca="1" ref="D10" ca="1">INDIRECT("'" &amp; C10 &amp; "'!$L$78")</f>
        <v>1.1666666666666667</v>
      </c>
      <c r="E10" s="37" cm="1">
        <f t="array" aca="1" ref="E10" ca="1">INDIRECT("'" &amp; C10 &amp; "'!$M$78")</f>
        <v>3.5</v>
      </c>
      <c r="F10" s="2"/>
      <c r="G10" s="2" t="s">
        <v>304</v>
      </c>
      <c r="H10" s="2">
        <f ca="1">MODE(D6:D26)</f>
        <v>3.1666666666666665</v>
      </c>
      <c r="I10" s="2"/>
      <c r="J10" s="2" t="s">
        <v>328</v>
      </c>
      <c r="K10" s="38">
        <f ca="1">MAX(K17-K16,0)</f>
        <v>0.83333333333333304</v>
      </c>
      <c r="L10" s="2"/>
      <c r="M10" s="39" t="s">
        <v>335</v>
      </c>
      <c r="N10" s="36" t="str">
        <f ca="1">IF(N8&lt;N9,"no","yes")</f>
        <v>yes</v>
      </c>
      <c r="O10" s="2"/>
      <c r="P10" s="2" t="s">
        <v>304</v>
      </c>
      <c r="Q10" s="2">
        <f ca="1">MODE(E6:E26)</f>
        <v>3.8333333333333335</v>
      </c>
      <c r="R10" s="2"/>
      <c r="S10" s="2" t="s">
        <v>328</v>
      </c>
      <c r="T10" s="38">
        <f ca="1">MAX(T17-T16,0)</f>
        <v>1</v>
      </c>
      <c r="U10" s="2"/>
      <c r="V10" s="39" t="s">
        <v>335</v>
      </c>
      <c r="W10" s="36" t="str">
        <f ca="1">IF(W8&lt;W9,"no","yes")</f>
        <v>yes</v>
      </c>
      <c r="X10" s="2"/>
      <c r="Y10" s="48" t="s">
        <v>349</v>
      </c>
      <c r="Z10" s="48">
        <f ca="1">Z9</f>
        <v>21</v>
      </c>
      <c r="AA10" s="51">
        <f ca="1">AA8-AA9</f>
        <v>-1.6031746031746028</v>
      </c>
      <c r="AB10" s="48">
        <f t="array" aca="1" ref="AB10" ca="1">_xlfn.STDEV.S(D6:D26-E6:E26)</f>
        <v>1.3606332170437225</v>
      </c>
      <c r="AC10" s="48">
        <f ca="1">AB10/SQRT(Z10)</f>
        <v>0.29691451000829228</v>
      </c>
      <c r="AD10" s="48">
        <f ca="1">(AA8-AA9-AF6)/AC10</f>
        <v>-5.3994484915197614</v>
      </c>
      <c r="AE10" s="48">
        <f ca="1">Z10-1</f>
        <v>20</v>
      </c>
      <c r="AF10" s="48">
        <f ca="1">ABS(AA8-AA9-AF6)/AB10</f>
        <v>1.1782562582573541</v>
      </c>
      <c r="AG10" s="48">
        <f ca="1">SQRT(AD10^2/(AD10^2+AE10))</f>
        <v>0.77014016830065724</v>
      </c>
      <c r="AH10" s="2"/>
      <c r="AI10" s="2" t="s">
        <v>361</v>
      </c>
      <c r="AJ10" s="38">
        <f ca="1">SUMPRODUCT(--ISNUMBER(D6:D26),--ISNUMBER(E6:E26),--(D6:D26&lt;&gt;E6:E26))</f>
        <v>21</v>
      </c>
      <c r="AK10" s="2"/>
    </row>
    <row r="11" spans="3:37" x14ac:dyDescent="0.3">
      <c r="C11" s="2" t="s">
        <v>290</v>
      </c>
      <c r="D11" s="37" cm="1">
        <f t="array" aca="1" ref="D11" ca="1">INDIRECT("'" &amp; C11 &amp; "'!$L$78")</f>
        <v>2</v>
      </c>
      <c r="E11" s="37" cm="1">
        <f t="array" aca="1" ref="E11" ca="1">INDIRECT("'" &amp; C11 &amp; "'!$M$78")</f>
        <v>3.8333333333333335</v>
      </c>
      <c r="F11" s="2"/>
      <c r="G11" s="2" t="s">
        <v>305</v>
      </c>
      <c r="H11" s="2">
        <f ca="1">_xlfn.STDEV.S(D6:D26)</f>
        <v>1.1426091000668408</v>
      </c>
      <c r="I11" s="2"/>
      <c r="J11" s="2" t="s">
        <v>329</v>
      </c>
      <c r="K11" s="38">
        <f ca="1">MAX(K18-K17,0)</f>
        <v>2.5000000000000004</v>
      </c>
      <c r="L11" s="2"/>
      <c r="M11" s="2"/>
      <c r="N11" s="2"/>
      <c r="O11" s="2"/>
      <c r="P11" s="2" t="s">
        <v>305</v>
      </c>
      <c r="Q11" s="2">
        <f ca="1">_xlfn.STDEV.S(E6:E26)</f>
        <v>1.3359102083059637</v>
      </c>
      <c r="R11" s="2"/>
      <c r="S11" s="2" t="s">
        <v>329</v>
      </c>
      <c r="T11" s="38">
        <f ca="1">MAX(T18-T17,0)</f>
        <v>1.333333333333333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 t="s">
        <v>362</v>
      </c>
      <c r="AJ11" s="38">
        <f ca="1">IF(AJ13&lt;=AJ16,AJ13,AJ10*(AJ10+1)/2)</f>
        <v>9</v>
      </c>
      <c r="AK11" s="2"/>
    </row>
    <row r="12" spans="3:37" ht="15" thickBot="1" x14ac:dyDescent="0.35">
      <c r="C12" s="2" t="s">
        <v>291</v>
      </c>
      <c r="D12" s="37" cm="1">
        <f t="array" aca="1" ref="D12" ca="1">INDIRECT("'" &amp; C12 &amp; "'!$L$78")</f>
        <v>2.5</v>
      </c>
      <c r="E12" s="37" cm="1">
        <f t="array" aca="1" ref="E12" ca="1">INDIRECT("'" &amp; C12 &amp; "'!$M$78")</f>
        <v>2</v>
      </c>
      <c r="F12" s="2"/>
      <c r="G12" s="2" t="s">
        <v>306</v>
      </c>
      <c r="H12" s="46">
        <f ca="1">_xlfn.VAR.S(D6:D26)</f>
        <v>1.3055555555555558</v>
      </c>
      <c r="I12" s="46"/>
      <c r="J12" s="2" t="s">
        <v>301</v>
      </c>
      <c r="K12" s="40">
        <f ca="1">K19-$K21</f>
        <v>2.5</v>
      </c>
      <c r="L12" s="46"/>
      <c r="M12" s="2" t="s">
        <v>336</v>
      </c>
      <c r="N12" s="46"/>
      <c r="O12" s="46"/>
      <c r="P12" s="2" t="s">
        <v>306</v>
      </c>
      <c r="Q12" s="2">
        <f ca="1">_xlfn.VAR.S(E6:E26)</f>
        <v>1.7846560846560835</v>
      </c>
      <c r="R12" s="46"/>
      <c r="S12" s="46" t="s">
        <v>301</v>
      </c>
      <c r="T12" s="40">
        <f ca="1">T19-$T21</f>
        <v>4.1031746031746028</v>
      </c>
      <c r="U12" s="2"/>
      <c r="V12" s="46" t="s">
        <v>336</v>
      </c>
      <c r="W12" s="2"/>
      <c r="X12" s="46"/>
      <c r="Y12" s="46" t="s">
        <v>350</v>
      </c>
      <c r="Z12" s="2"/>
      <c r="AA12" s="2"/>
      <c r="AB12" s="2"/>
      <c r="AC12" s="2"/>
      <c r="AD12" s="2"/>
      <c r="AE12" s="2"/>
      <c r="AF12" s="2"/>
      <c r="AG12" s="2"/>
      <c r="AH12" s="2"/>
      <c r="AI12" s="2" t="s">
        <v>363</v>
      </c>
      <c r="AJ12" s="38">
        <f ca="1">AJ10*(AJ10+1)/2-AJ11</f>
        <v>222</v>
      </c>
      <c r="AK12" s="2"/>
    </row>
    <row r="13" spans="3:37" ht="15" thickTop="1" x14ac:dyDescent="0.3">
      <c r="C13" s="2" t="s">
        <v>292</v>
      </c>
      <c r="D13" s="37" cm="1">
        <f t="array" aca="1" ref="D13" ca="1">INDIRECT("'" &amp; C13 &amp; "'!$L$78")</f>
        <v>1.5</v>
      </c>
      <c r="E13" s="37" cm="1">
        <f t="array" aca="1" ref="E13" ca="1">INDIRECT("'" &amp; C13 &amp; "'!$M$78")</f>
        <v>5.5</v>
      </c>
      <c r="F13" s="2"/>
      <c r="G13" s="2" t="s">
        <v>307</v>
      </c>
      <c r="H13" s="2">
        <f ca="1">KURT(D6:D26)</f>
        <v>1.6847362861658461</v>
      </c>
      <c r="I13" s="37"/>
      <c r="J13" s="2"/>
      <c r="K13" s="2"/>
      <c r="L13" s="2"/>
      <c r="M13" s="2"/>
      <c r="N13" s="2"/>
      <c r="O13" s="2"/>
      <c r="P13" s="2" t="s">
        <v>307</v>
      </c>
      <c r="Q13" s="2">
        <f ca="1">KURT(E6:E26)</f>
        <v>-0.91033981882701465</v>
      </c>
      <c r="R13" s="2"/>
      <c r="S13" s="37"/>
      <c r="T13" s="2"/>
      <c r="U13" s="2"/>
      <c r="V13" s="2"/>
      <c r="W13" s="2"/>
      <c r="X13" s="2"/>
      <c r="Y13" s="42" t="s">
        <v>351</v>
      </c>
      <c r="Z13" s="42" t="s">
        <v>333</v>
      </c>
      <c r="AA13" s="42" t="s">
        <v>352</v>
      </c>
      <c r="AB13" s="42" t="s">
        <v>353</v>
      </c>
      <c r="AC13" s="42" t="s">
        <v>354</v>
      </c>
      <c r="AD13" s="42" t="s">
        <v>355</v>
      </c>
      <c r="AE13" s="46"/>
      <c r="AF13" s="46"/>
      <c r="AG13" s="46"/>
      <c r="AH13" s="46"/>
      <c r="AI13" s="46" t="s">
        <v>364</v>
      </c>
      <c r="AJ13" s="57">
        <f ca="1">[1]!SRANK(D6:D26,E6:E26)</f>
        <v>9</v>
      </c>
      <c r="AK13" s="2"/>
    </row>
    <row r="14" spans="3:37" x14ac:dyDescent="0.3">
      <c r="C14" s="2" t="s">
        <v>293</v>
      </c>
      <c r="D14" s="37" cm="1">
        <f t="array" aca="1" ref="D14" ca="1">INDIRECT("'" &amp; C14 &amp; "'!$L$78")</f>
        <v>1</v>
      </c>
      <c r="E14" s="37" cm="1">
        <f t="array" aca="1" ref="E14" ca="1">INDIRECT("'" &amp; C14 &amp; "'!$M$78")</f>
        <v>4.333333333333333</v>
      </c>
      <c r="F14" s="2"/>
      <c r="G14" s="2" t="s">
        <v>308</v>
      </c>
      <c r="H14" s="2">
        <f ca="1">SKEW(D6:D26)</f>
        <v>1.2184055370448994</v>
      </c>
      <c r="I14" s="2"/>
      <c r="J14" s="2" t="s">
        <v>322</v>
      </c>
      <c r="K14" s="50">
        <f t="array" aca="1" ref="K14" ca="1">MIN(IF(ISBLANK(D6:D26),"",IF(D6:D26&gt;=K15-$K4*(K17-K15),D6:D26,"")))</f>
        <v>1</v>
      </c>
      <c r="L14" s="2"/>
      <c r="M14" s="48" t="s">
        <v>337</v>
      </c>
      <c r="N14" s="48">
        <f ca="1">[1]!DAGOSTINO(D6:D26)</f>
        <v>7.8784986375136281</v>
      </c>
      <c r="O14" s="2"/>
      <c r="P14" s="2" t="s">
        <v>308</v>
      </c>
      <c r="Q14" s="2">
        <f ca="1">SKEW(E6:E26)</f>
        <v>-6.8499902157126744E-2</v>
      </c>
      <c r="R14" s="2"/>
      <c r="S14" s="2" t="s">
        <v>322</v>
      </c>
      <c r="T14" s="50">
        <f t="array" aca="1" ref="T14" ca="1">MIN(IF(ISBLANK(E6:E26),"",IF(E6:E26&gt;=T15-$T4*(T17-T15),E6:E26,"")))</f>
        <v>2</v>
      </c>
      <c r="U14" s="2"/>
      <c r="V14" s="48" t="s">
        <v>337</v>
      </c>
      <c r="W14" s="48">
        <f ca="1">[1]!DAGOSTINO(E6:E26)</f>
        <v>1.2693608760274191</v>
      </c>
      <c r="X14" s="2"/>
      <c r="Y14" s="2" t="s">
        <v>356</v>
      </c>
      <c r="Z14" s="2">
        <f ca="1">_xlfn.T.DIST.RT(ABS(AD10),AE10)</f>
        <v>1.3816884883574006E-5</v>
      </c>
      <c r="AA14" s="2">
        <f ca="1">_xlfn.T.INV.2T(AC6*2,AE10)</f>
        <v>1.7247182429207868</v>
      </c>
      <c r="AB14" s="2"/>
      <c r="AC14" s="2"/>
      <c r="AD14" s="55" t="str">
        <f ca="1">IF(Z14&lt;AC6,"yes","no")</f>
        <v>yes</v>
      </c>
      <c r="AE14" s="2"/>
      <c r="AF14" s="2"/>
      <c r="AG14" s="2"/>
      <c r="AH14" s="2"/>
      <c r="AI14" s="2"/>
      <c r="AJ14" s="2"/>
      <c r="AK14" s="2"/>
    </row>
    <row r="15" spans="3:37" x14ac:dyDescent="0.3">
      <c r="C15" s="2" t="s">
        <v>294</v>
      </c>
      <c r="D15" s="37" cm="1">
        <f t="array" aca="1" ref="D15" ca="1">INDIRECT("'" &amp; C15 &amp; "'!$L$78")</f>
        <v>2.6666666666666665</v>
      </c>
      <c r="E15" s="37" cm="1">
        <f t="array" aca="1" ref="E15" ca="1">INDIRECT("'" &amp; C15 &amp; "'!$M$78")</f>
        <v>6.166666666666667</v>
      </c>
      <c r="F15" s="2"/>
      <c r="G15" s="2" t="s">
        <v>309</v>
      </c>
      <c r="H15" s="2">
        <f ca="1">H16-H17</f>
        <v>4.666666666666667</v>
      </c>
      <c r="I15" s="37"/>
      <c r="J15" s="2" t="s">
        <v>323</v>
      </c>
      <c r="K15" s="38">
        <f ca="1">_xlfn.QUARTILE.INC(D6:D26,1)</f>
        <v>1.6666666666666667</v>
      </c>
      <c r="L15" s="2"/>
      <c r="M15" s="2" t="s">
        <v>333</v>
      </c>
      <c r="N15" s="2">
        <f ca="1">[1]!DPTEST(D6:D26)</f>
        <v>1.9462819636531292E-2</v>
      </c>
      <c r="O15" s="2"/>
      <c r="P15" s="2" t="s">
        <v>309</v>
      </c>
      <c r="Q15" s="2">
        <f ca="1">Q16-Q17</f>
        <v>4.333333333333333</v>
      </c>
      <c r="R15" s="2"/>
      <c r="S15" s="37" t="s">
        <v>323</v>
      </c>
      <c r="T15" s="38">
        <f ca="1">_xlfn.QUARTILE.INC(E6:E26,1)</f>
        <v>3.5</v>
      </c>
      <c r="U15" s="2"/>
      <c r="V15" s="2" t="s">
        <v>333</v>
      </c>
      <c r="W15" s="2">
        <f ca="1">[1]!DPTEST(E6:E26)</f>
        <v>0.53010486261617329</v>
      </c>
      <c r="X15" s="2"/>
      <c r="Y15" s="2" t="s">
        <v>357</v>
      </c>
      <c r="Z15" s="137">
        <f ca="1">_xlfn.T.DIST.2T(ABS(AD10),AE10)</f>
        <v>2.7633769767148011E-5</v>
      </c>
      <c r="AA15" s="2">
        <f ca="1">_xlfn.T.INV.2T(AC6,AE10)</f>
        <v>2.0859634472658648</v>
      </c>
      <c r="AB15" s="2">
        <f ca="1">(AA8-AA9)-AC10*AA15</f>
        <v>-2.2225274180147552</v>
      </c>
      <c r="AC15" s="2">
        <f ca="1">(AA8-AA9)+AC10*AA15</f>
        <v>-0.98382178833445033</v>
      </c>
      <c r="AD15" s="55" t="str">
        <f ca="1">IF(Z15&lt;AC6,"yes","no")</f>
        <v>yes</v>
      </c>
      <c r="AE15" s="2"/>
      <c r="AF15" s="2"/>
      <c r="AG15" s="2"/>
      <c r="AH15" s="2"/>
      <c r="AI15" s="2"/>
      <c r="AJ15" s="32" t="s">
        <v>365</v>
      </c>
      <c r="AK15" s="32" t="s">
        <v>366</v>
      </c>
    </row>
    <row r="16" spans="3:37" x14ac:dyDescent="0.3">
      <c r="C16" s="2" t="s">
        <v>295</v>
      </c>
      <c r="D16" s="37" cm="1">
        <f t="array" aca="1" ref="D16" ca="1">INDIRECT("'" &amp; C16 &amp; "'!$L$78")</f>
        <v>4.5</v>
      </c>
      <c r="E16" s="37" cm="1">
        <f t="array" aca="1" ref="E16" ca="1">INDIRECT("'" &amp; C16 &amp; "'!$M$78")</f>
        <v>5.833333333333333</v>
      </c>
      <c r="F16" s="2"/>
      <c r="G16" s="2" t="s">
        <v>310</v>
      </c>
      <c r="H16" s="37">
        <f ca="1">MAX(D6:D26)</f>
        <v>5.666666666666667</v>
      </c>
      <c r="I16" s="2"/>
      <c r="J16" s="2" t="s">
        <v>303</v>
      </c>
      <c r="K16" s="41">
        <f ca="1">MEDIAN(D6:D26)</f>
        <v>2.3333333333333335</v>
      </c>
      <c r="L16" s="2"/>
      <c r="M16" s="2" t="s">
        <v>334</v>
      </c>
      <c r="N16" s="2">
        <v>0.05</v>
      </c>
      <c r="O16" s="47"/>
      <c r="P16" s="2" t="s">
        <v>310</v>
      </c>
      <c r="Q16" s="37">
        <f ca="1">MAX(E6:E26)</f>
        <v>6.333333333333333</v>
      </c>
      <c r="R16" s="2"/>
      <c r="S16" s="2" t="s">
        <v>303</v>
      </c>
      <c r="T16" s="41">
        <f ca="1">MEDIAN(E6:E26)</f>
        <v>4</v>
      </c>
      <c r="U16" s="2"/>
      <c r="V16" s="2" t="s">
        <v>334</v>
      </c>
      <c r="W16" s="2">
        <v>0.05</v>
      </c>
      <c r="X16" s="2"/>
      <c r="Y16" s="56"/>
      <c r="Z16" s="48"/>
      <c r="AA16" s="48"/>
      <c r="AB16" s="48"/>
      <c r="AC16" s="48"/>
      <c r="AD16" s="51"/>
      <c r="AE16" s="2"/>
      <c r="AF16" s="2"/>
      <c r="AG16" s="2"/>
      <c r="AH16" s="2"/>
      <c r="AI16" s="2" t="s">
        <v>367</v>
      </c>
      <c r="AJ16" s="50">
        <f ca="1">AJ10*(AJ10+1)/4</f>
        <v>115.5</v>
      </c>
      <c r="AK16" s="2"/>
    </row>
    <row r="17" spans="3:37" x14ac:dyDescent="0.3">
      <c r="C17" s="2" t="s">
        <v>296</v>
      </c>
      <c r="D17" s="37" cm="1">
        <f t="array" aca="1" ref="D17" ca="1">INDIRECT("'" &amp; C17 &amp; "'!$L$78")</f>
        <v>3</v>
      </c>
      <c r="E17" s="37" cm="1">
        <f t="array" aca="1" ref="E17" ca="1">INDIRECT("'" &amp; C17 &amp; "'!$M$78")</f>
        <v>5.166666666666667</v>
      </c>
      <c r="F17" s="2"/>
      <c r="G17" s="2" t="s">
        <v>311</v>
      </c>
      <c r="H17" s="37">
        <f ca="1">MIN(D6:D26)</f>
        <v>1</v>
      </c>
      <c r="I17" s="2"/>
      <c r="J17" s="2" t="s">
        <v>324</v>
      </c>
      <c r="K17" s="38">
        <f ca="1">_xlfn.QUARTILE.INC(D6:D26,3)</f>
        <v>3.1666666666666665</v>
      </c>
      <c r="L17" s="2"/>
      <c r="M17" s="39" t="s">
        <v>335</v>
      </c>
      <c r="N17" s="36" t="str">
        <f ca="1">IF(N15&lt;N16,"no","yes")</f>
        <v>no</v>
      </c>
      <c r="O17" s="2"/>
      <c r="P17" s="2" t="s">
        <v>311</v>
      </c>
      <c r="Q17" s="37">
        <f ca="1">MIN(E6:E26)</f>
        <v>2</v>
      </c>
      <c r="R17" s="2"/>
      <c r="S17" s="2" t="s">
        <v>324</v>
      </c>
      <c r="T17" s="38">
        <f ca="1">_xlfn.QUARTILE.INC(E6:E26,3)</f>
        <v>5</v>
      </c>
      <c r="U17" s="2"/>
      <c r="V17" s="39" t="s">
        <v>335</v>
      </c>
      <c r="W17" s="36" t="str">
        <f ca="1">IF(W15&lt;W16,"no","yes")</f>
        <v>yes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 t="s">
        <v>368</v>
      </c>
      <c r="AJ17" s="38">
        <f ca="1">SQRT(AJ16*(2*AJ10+1)/6-[1]!TiesCorrection(D6:D26,E6:E26,1)/48)</f>
        <v>28.764126963980672</v>
      </c>
      <c r="AK17" s="2" t="s">
        <v>369</v>
      </c>
    </row>
    <row r="18" spans="3:37" x14ac:dyDescent="0.3">
      <c r="C18" s="2" t="s">
        <v>297</v>
      </c>
      <c r="D18" s="37" cm="1">
        <f t="array" aca="1" ref="D18" ca="1">INDIRECT("'" &amp; C18 &amp; "'!$L$78")</f>
        <v>1.8333333333333333</v>
      </c>
      <c r="E18" s="37" cm="1">
        <f t="array" aca="1" ref="E18" ca="1">INDIRECT("'" &amp; C18 &amp; "'!$M$78")</f>
        <v>2.6666666666666665</v>
      </c>
      <c r="F18" s="2"/>
      <c r="G18" s="2" t="s">
        <v>312</v>
      </c>
      <c r="H18" s="37">
        <f ca="1">SUM(D6:D26)</f>
        <v>52.5</v>
      </c>
      <c r="I18" s="2"/>
      <c r="J18" s="2" t="s">
        <v>325</v>
      </c>
      <c r="K18" s="38">
        <f t="array" aca="1" ref="K18" ca="1">MAX(IF(ISBLANK(D6:D26),"",IF(D6:D26&lt;=K17+$K4*(K17-K15),D6:D26,"")))</f>
        <v>5.666666666666667</v>
      </c>
      <c r="L18" s="37"/>
      <c r="M18" s="2"/>
      <c r="N18" s="2"/>
      <c r="O18" s="2"/>
      <c r="P18" s="2" t="s">
        <v>312</v>
      </c>
      <c r="Q18" s="37">
        <f ca="1">SUM(E6:E26)</f>
        <v>86.166666666666657</v>
      </c>
      <c r="R18" s="2"/>
      <c r="S18" s="2" t="s">
        <v>325</v>
      </c>
      <c r="T18" s="38">
        <f t="array" aca="1" ref="T18" ca="1">MAX(IF(ISBLANK(E6:E26),"",IF(E6:E26&lt;=T17+$T4*(T17-T15),E6:E26,"")))</f>
        <v>6.333333333333333</v>
      </c>
      <c r="U18" s="2"/>
      <c r="V18" s="37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 t="s">
        <v>370</v>
      </c>
      <c r="AJ18" s="38">
        <f ca="1">ABS(ABS(AJ13-AJ16)-1/2)/AJ17</f>
        <v>3.6851457418727316</v>
      </c>
      <c r="AK18" s="2" t="s">
        <v>371</v>
      </c>
    </row>
    <row r="19" spans="3:37" x14ac:dyDescent="0.3">
      <c r="C19" s="2" t="s">
        <v>298</v>
      </c>
      <c r="D19" s="37" cm="1">
        <f t="array" aca="1" ref="D19" ca="1">INDIRECT("'" &amp; C19 &amp; "'!$L$78")</f>
        <v>1.8333333333333333</v>
      </c>
      <c r="E19" s="37" cm="1">
        <f t="array" aca="1" ref="E19" ca="1">INDIRECT("'" &amp; C19 &amp; "'!$M$78")</f>
        <v>2</v>
      </c>
      <c r="F19" s="2"/>
      <c r="G19" s="2" t="s">
        <v>313</v>
      </c>
      <c r="H19" s="2">
        <f ca="1">COUNT(D6:D26)</f>
        <v>21</v>
      </c>
      <c r="I19" s="2"/>
      <c r="J19" s="2" t="s">
        <v>301</v>
      </c>
      <c r="K19" s="40">
        <f ca="1">AVERAGE(D6:D26)</f>
        <v>2.5</v>
      </c>
      <c r="L19" s="2"/>
      <c r="M19" s="2"/>
      <c r="N19" s="2"/>
      <c r="O19" s="2"/>
      <c r="P19" s="2" t="s">
        <v>313</v>
      </c>
      <c r="Q19" s="2">
        <f ca="1">COUNT(E6:E26)</f>
        <v>21</v>
      </c>
      <c r="R19" s="2"/>
      <c r="S19" s="2" t="s">
        <v>301</v>
      </c>
      <c r="T19" s="40">
        <f ca="1">AVERAGE(E6:E26)</f>
        <v>4.1031746031746028</v>
      </c>
      <c r="U19" s="2"/>
      <c r="V19" s="2"/>
      <c r="W19" s="2"/>
      <c r="X19" s="2"/>
      <c r="Y19" s="2"/>
      <c r="Z19" s="2"/>
      <c r="AA19" s="2"/>
      <c r="AB19" s="46"/>
      <c r="AC19" s="46"/>
      <c r="AD19" s="46"/>
      <c r="AE19" s="46"/>
      <c r="AF19" s="46"/>
      <c r="AG19" s="46"/>
      <c r="AH19" s="2"/>
      <c r="AI19" s="2" t="s">
        <v>372</v>
      </c>
      <c r="AJ19" s="38">
        <f ca="1">AJ18/SQRT(AJ10)</f>
        <v>0.80416472900361846</v>
      </c>
      <c r="AK19" s="2"/>
    </row>
    <row r="20" spans="3:37" ht="15" thickBot="1" x14ac:dyDescent="0.35">
      <c r="C20" s="2" t="s">
        <v>299</v>
      </c>
      <c r="D20" s="37" cm="1">
        <f t="array" aca="1" ref="D20" ca="1">INDIRECT("'" &amp; C20 &amp; "'!$L$78")</f>
        <v>1.6666666666666667</v>
      </c>
      <c r="E20" s="37" cm="1">
        <f t="array" aca="1" ref="E20" ca="1">INDIRECT("'" &amp; C20 &amp; "'!$M$78")</f>
        <v>3.5</v>
      </c>
      <c r="F20" s="2"/>
      <c r="G20" s="2" t="s">
        <v>314</v>
      </c>
      <c r="H20" s="2">
        <f ca="1">GEOMEAN(D6:D26)</f>
        <v>2.2816546928529604</v>
      </c>
      <c r="I20" s="2"/>
      <c r="J20" s="2"/>
      <c r="K20" s="2"/>
      <c r="L20" s="2"/>
      <c r="M20" s="2"/>
      <c r="N20" s="2"/>
      <c r="O20" s="2"/>
      <c r="P20" s="2" t="s">
        <v>314</v>
      </c>
      <c r="Q20" s="2">
        <f ca="1">GEOMEAN(E6:E26)</f>
        <v>3.8742975343287918</v>
      </c>
      <c r="R20" s="2"/>
      <c r="S20" s="2"/>
      <c r="T20" s="2"/>
      <c r="U20" s="2"/>
      <c r="V20" s="2"/>
      <c r="W20" s="2"/>
      <c r="X20" s="2"/>
      <c r="Y20" s="2"/>
      <c r="Z20" s="150"/>
      <c r="AA20" s="150" t="s">
        <v>301</v>
      </c>
      <c r="AB20" s="151" t="s">
        <v>343</v>
      </c>
      <c r="AC20" s="152" t="s">
        <v>333</v>
      </c>
      <c r="AD20" s="152" t="s">
        <v>348</v>
      </c>
      <c r="AE20" s="2"/>
      <c r="AF20" s="2"/>
      <c r="AG20" s="32"/>
      <c r="AH20" s="2"/>
      <c r="AI20" s="2" t="s">
        <v>373</v>
      </c>
      <c r="AJ20" s="50">
        <f ca="1">1-_xlfn.NORM.S.DIST(AJ18,TRUE)</f>
        <v>1.1428590380435644E-4</v>
      </c>
      <c r="AK20" s="54">
        <f ca="1">2*AJ20</f>
        <v>2.2857180760871287E-4</v>
      </c>
    </row>
    <row r="21" spans="3:37" ht="15" thickBot="1" x14ac:dyDescent="0.35">
      <c r="C21" s="2" t="s">
        <v>395</v>
      </c>
      <c r="D21" s="37" cm="1">
        <f t="array" aca="1" ref="D21" ca="1">INDIRECT("'" &amp; C21 &amp; "'!$L$78")</f>
        <v>3.3333333333333335</v>
      </c>
      <c r="E21" s="37" cm="1">
        <f t="array" aca="1" ref="E21" ca="1">INDIRECT("'" &amp; C21 &amp; "'!$M$78")</f>
        <v>4</v>
      </c>
      <c r="F21" s="2"/>
      <c r="G21" s="2" t="s">
        <v>315</v>
      </c>
      <c r="H21" s="2">
        <f ca="1">HARMEAN(D6:D26)</f>
        <v>2.0895812429390759</v>
      </c>
      <c r="I21" s="2"/>
      <c r="J21" s="2" t="s">
        <v>320</v>
      </c>
      <c r="K21" s="49">
        <f ca="1">IF(MIN(K14)&gt;=0,0,MIN(K14))</f>
        <v>0</v>
      </c>
      <c r="L21" s="2"/>
      <c r="M21" s="2"/>
      <c r="N21" s="2"/>
      <c r="O21" s="2"/>
      <c r="P21" s="2" t="s">
        <v>315</v>
      </c>
      <c r="Q21" s="2">
        <f ca="1">HARMEAN(E6:E26)</f>
        <v>3.6294064683216143</v>
      </c>
      <c r="R21" s="2"/>
      <c r="S21" s="2" t="s">
        <v>320</v>
      </c>
      <c r="T21" s="49">
        <f ca="1">IF(MIN(T14)&gt;=0,0,MIN(T14))</f>
        <v>0</v>
      </c>
      <c r="U21" s="2"/>
      <c r="V21" s="2"/>
      <c r="W21" s="2"/>
      <c r="X21" s="2"/>
      <c r="Y21" s="2"/>
      <c r="Z21" s="150" t="s">
        <v>430</v>
      </c>
      <c r="AA21" s="153">
        <v>2.5</v>
      </c>
      <c r="AB21" s="151">
        <v>1.1426091000668408</v>
      </c>
      <c r="AC21" s="150"/>
      <c r="AD21" s="150"/>
      <c r="AE21" s="2"/>
      <c r="AF21" s="2"/>
      <c r="AG21" s="32"/>
      <c r="AH21" s="2"/>
      <c r="AI21" s="2" t="s">
        <v>374</v>
      </c>
      <c r="AJ21" s="38">
        <f ca="1">[1]!SRDIST(AJ13,AJ10,1)</f>
        <v>1.5735626220703125E-5</v>
      </c>
      <c r="AK21" s="44">
        <f ca="1">2*AJ21</f>
        <v>3.147125244140625E-5</v>
      </c>
    </row>
    <row r="22" spans="3:37" ht="15" thickBot="1" x14ac:dyDescent="0.35">
      <c r="C22" s="2" t="s">
        <v>396</v>
      </c>
      <c r="D22" s="37" cm="1">
        <f t="array" aca="1" ref="D22" ca="1">INDIRECT("'" &amp; C22 &amp; "'!$L$78")</f>
        <v>1.6666666666666667</v>
      </c>
      <c r="E22" s="37" cm="1">
        <f t="array" aca="1" ref="E22" ca="1">INDIRECT("'" &amp; C22 &amp; "'!$M$78")</f>
        <v>4.833333333333333</v>
      </c>
      <c r="F22" s="2"/>
      <c r="G22" s="2" t="s">
        <v>316</v>
      </c>
      <c r="H22" s="2">
        <f ca="1">AVEDEV(D6:D26)</f>
        <v>0.87301587301587291</v>
      </c>
      <c r="I22" s="37"/>
      <c r="J22" s="2"/>
      <c r="K22" s="2"/>
      <c r="L22" s="37"/>
      <c r="M22" s="2"/>
      <c r="N22" s="2"/>
      <c r="O22" s="2"/>
      <c r="P22" s="2" t="s">
        <v>316</v>
      </c>
      <c r="Q22" s="2">
        <f ca="1">AVEDEV(E6:E26)</f>
        <v>1.0922146636432351</v>
      </c>
      <c r="R22" s="2"/>
      <c r="S22" s="37"/>
      <c r="T22" s="2"/>
      <c r="U22" s="2"/>
      <c r="V22" s="37"/>
      <c r="W22" s="2"/>
      <c r="X22" s="2"/>
      <c r="Y22" s="2"/>
      <c r="Z22" s="150" t="s">
        <v>431</v>
      </c>
      <c r="AA22" s="153">
        <v>4.1031746031746028</v>
      </c>
      <c r="AB22" s="151">
        <v>1.3359102083059637</v>
      </c>
      <c r="AC22" s="154">
        <v>2.7633769767148011E-5</v>
      </c>
      <c r="AD22" s="150">
        <v>0.77014016830065724</v>
      </c>
      <c r="AE22" s="2"/>
      <c r="AF22" s="2"/>
      <c r="AG22" s="2"/>
      <c r="AH22" s="2"/>
      <c r="AI22" s="2" t="s">
        <v>375</v>
      </c>
      <c r="AJ22" s="43" t="s">
        <v>376</v>
      </c>
      <c r="AK22" s="45" t="s">
        <v>376</v>
      </c>
    </row>
    <row r="23" spans="3:37" x14ac:dyDescent="0.3">
      <c r="C23" s="2" t="s">
        <v>397</v>
      </c>
      <c r="D23" s="37" cm="1">
        <f t="array" aca="1" ref="D23" ca="1">INDIRECT("'" &amp; C23 &amp; "'!$L$78")</f>
        <v>3.1666666666666665</v>
      </c>
      <c r="E23" s="37" cm="1">
        <f t="array" aca="1" ref="E23" ca="1">INDIRECT("'" &amp; C23 &amp; "'!$M$78")</f>
        <v>4.833333333333333</v>
      </c>
      <c r="F23" s="2"/>
      <c r="G23" s="2" t="s">
        <v>317</v>
      </c>
      <c r="H23" s="2">
        <f ca="1">[1]!MAD(D6:D26)</f>
        <v>0.66666666666666674</v>
      </c>
      <c r="I23" s="37"/>
      <c r="J23" s="2" t="s">
        <v>321</v>
      </c>
      <c r="K23" s="2" t="s">
        <v>330</v>
      </c>
      <c r="L23" s="2"/>
      <c r="M23" s="2"/>
      <c r="N23" s="2"/>
      <c r="O23" s="47"/>
      <c r="P23" s="2" t="s">
        <v>317</v>
      </c>
      <c r="Q23" s="2">
        <f ca="1">[1]!MAD(E6:E26)</f>
        <v>1</v>
      </c>
      <c r="R23" s="2"/>
      <c r="S23" s="37" t="s">
        <v>321</v>
      </c>
      <c r="T23" s="2" t="s">
        <v>330</v>
      </c>
      <c r="U23" s="2"/>
      <c r="V23" s="2"/>
      <c r="W23" s="2"/>
      <c r="X23" s="2"/>
      <c r="Y23" s="47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3:37" x14ac:dyDescent="0.3">
      <c r="C24" s="2" t="s">
        <v>398</v>
      </c>
      <c r="D24" s="37" cm="1">
        <f t="array" aca="1" ref="D24" ca="1">INDIRECT("'" &amp; C24 &amp; "'!$L$78")</f>
        <v>2.3333333333333335</v>
      </c>
      <c r="E24" s="37" cm="1">
        <f t="array" aca="1" ref="E24" ca="1">INDIRECT("'" &amp; C24 &amp; "'!$M$78")</f>
        <v>2.1666666666666665</v>
      </c>
      <c r="F24" s="2"/>
      <c r="G24" s="39" t="s">
        <v>318</v>
      </c>
      <c r="H24" s="39">
        <f ca="1">[1]!IQR(D6:D26,FALSE)</f>
        <v>1.4999999999999998</v>
      </c>
      <c r="I24" s="37"/>
      <c r="J24" s="2"/>
      <c r="K24" s="2"/>
      <c r="L24" s="2"/>
      <c r="M24" s="2"/>
      <c r="N24" s="2"/>
      <c r="O24" s="2"/>
      <c r="P24" s="39" t="s">
        <v>318</v>
      </c>
      <c r="Q24" s="39">
        <f ca="1">[1]!IQR(E6:E26,FALSE)</f>
        <v>1.5</v>
      </c>
      <c r="R24" s="2"/>
      <c r="S24" s="3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3:37" x14ac:dyDescent="0.3">
      <c r="C25" s="2" t="s">
        <v>399</v>
      </c>
      <c r="D25" s="37" cm="1">
        <f t="array" aca="1" ref="D25" ca="1">INDIRECT("'" &amp; C25 &amp; "'!$L$78")</f>
        <v>5.666666666666667</v>
      </c>
      <c r="E25" s="37" cm="1">
        <f t="array" aca="1" ref="E25" ca="1">INDIRECT("'" &amp; C25 &amp; "'!$M$78")</f>
        <v>6.333333333333333</v>
      </c>
      <c r="F25" s="2"/>
      <c r="G25" s="2"/>
      <c r="H25" s="2"/>
      <c r="I25" s="2"/>
      <c r="J25" s="2"/>
      <c r="K25" s="2"/>
      <c r="L25" s="37"/>
      <c r="M25" s="2"/>
      <c r="N25" s="2"/>
      <c r="O25" s="2"/>
      <c r="P25" s="2"/>
      <c r="Q25" s="2"/>
      <c r="R25" s="2"/>
      <c r="S25" s="2"/>
      <c r="T25" s="2"/>
      <c r="U25" s="2"/>
      <c r="V25" s="37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3:37" x14ac:dyDescent="0.3">
      <c r="C26" s="2" t="s">
        <v>400</v>
      </c>
      <c r="D26" s="37" cm="1">
        <f t="array" aca="1" ref="D26" ca="1">INDIRECT("'" &amp; C26 &amp; "'!$L$78")</f>
        <v>2.3333333333333335</v>
      </c>
      <c r="E26" s="37" cm="1">
        <f t="array" aca="1" ref="E26" ca="1">INDIRECT("'" &amp; C26 &amp; "'!$M$78")</f>
        <v>2.5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35" spans="3:31" x14ac:dyDescent="0.3">
      <c r="C35" s="2"/>
      <c r="D35" s="59" t="s">
        <v>111</v>
      </c>
      <c r="E35" s="2"/>
    </row>
    <row r="36" spans="3:31" x14ac:dyDescent="0.3">
      <c r="C36" s="2"/>
      <c r="D36" s="2"/>
      <c r="E36" s="2"/>
    </row>
    <row r="37" spans="3:31" x14ac:dyDescent="0.3">
      <c r="C37" s="2" t="s">
        <v>285</v>
      </c>
      <c r="D37" s="37" cm="1">
        <f t="array" aca="1" ref="D37" ca="1">INDIRECT("'" &amp; C37 &amp; "'!$E$78")</f>
        <v>2</v>
      </c>
      <c r="E37" s="37" cm="1">
        <f t="array" aca="1" ref="E37" ca="1">INDIRECT("'" &amp; C37 &amp; "'!$F$78")</f>
        <v>5</v>
      </c>
      <c r="G37" t="s">
        <v>300</v>
      </c>
      <c r="J37" t="s">
        <v>331</v>
      </c>
      <c r="M37" t="s">
        <v>300</v>
      </c>
      <c r="P37" t="s">
        <v>331</v>
      </c>
      <c r="S37" t="s">
        <v>338</v>
      </c>
      <c r="AC37" t="s">
        <v>358</v>
      </c>
    </row>
    <row r="38" spans="3:31" x14ac:dyDescent="0.3">
      <c r="C38" s="2" t="s">
        <v>286</v>
      </c>
      <c r="D38" s="37" cm="1">
        <f t="array" aca="1" ref="D38" ca="1">INDIRECT("'" &amp; C38 &amp; "'!$E$78")</f>
        <v>3</v>
      </c>
      <c r="E38" s="37" cm="1">
        <f t="array" aca="1" ref="E38" ca="1">INDIRECT("'" &amp; C38 &amp; "'!$F$78")</f>
        <v>5</v>
      </c>
    </row>
    <row r="39" spans="3:31" ht="15" thickBot="1" x14ac:dyDescent="0.35">
      <c r="C39" s="2" t="s">
        <v>287</v>
      </c>
      <c r="D39" s="37" cm="1">
        <f t="array" aca="1" ref="D39" ca="1">INDIRECT("'" &amp; C39 &amp; "'!$E$78")</f>
        <v>3</v>
      </c>
      <c r="E39" s="37" cm="1">
        <f t="array" aca="1" ref="E39" ca="1">INDIRECT("'" &amp; C39 &amp; "'!$F$78")</f>
        <v>6</v>
      </c>
      <c r="G39" s="64"/>
      <c r="H39" s="64" t="s">
        <v>379</v>
      </c>
      <c r="J39" s="64"/>
      <c r="K39" s="64" t="s">
        <v>379</v>
      </c>
      <c r="M39" s="64"/>
      <c r="N39" s="64" t="s">
        <v>379</v>
      </c>
      <c r="P39" s="64"/>
      <c r="Q39" s="64" t="s">
        <v>379</v>
      </c>
      <c r="S39" t="s">
        <v>339</v>
      </c>
      <c r="V39" t="s">
        <v>340</v>
      </c>
      <c r="W39">
        <v>0.05</v>
      </c>
      <c r="Y39" t="s">
        <v>341</v>
      </c>
      <c r="Z39">
        <v>0</v>
      </c>
      <c r="AD39" t="s">
        <v>381</v>
      </c>
      <c r="AE39" t="s">
        <v>382</v>
      </c>
    </row>
    <row r="40" spans="3:31" ht="15" thickTop="1" x14ac:dyDescent="0.3">
      <c r="C40" s="2" t="s">
        <v>288</v>
      </c>
      <c r="D40" s="37" cm="1">
        <f t="array" aca="1" ref="D40" ca="1">INDIRECT("'" &amp; C40 &amp; "'!$E$78")</f>
        <v>1</v>
      </c>
      <c r="E40" s="37" cm="1">
        <f t="array" aca="1" ref="E40" ca="1">INDIRECT("'" &amp; C40 &amp; "'!$F$78")</f>
        <v>6</v>
      </c>
      <c r="G40" t="s">
        <v>301</v>
      </c>
      <c r="H40" s="65">
        <f ca="1">AVERAGE(D37:D57)</f>
        <v>2.9047619047619047</v>
      </c>
      <c r="J40" t="s">
        <v>332</v>
      </c>
      <c r="K40">
        <f ca="1">[1]!SHAPIRO(D37:D57)</f>
        <v>0.87440185471664433</v>
      </c>
      <c r="M40" t="s">
        <v>301</v>
      </c>
      <c r="N40" s="65">
        <f ca="1">AVERAGE(E37:E57)</f>
        <v>5</v>
      </c>
      <c r="P40" t="s">
        <v>332</v>
      </c>
      <c r="Q40">
        <f ca="1">[1]!SHAPIRO(E37:E57)</f>
        <v>0.86966674904881547</v>
      </c>
      <c r="S40" s="68" t="s">
        <v>342</v>
      </c>
      <c r="T40" s="68" t="s">
        <v>313</v>
      </c>
      <c r="U40" s="68" t="s">
        <v>301</v>
      </c>
      <c r="V40" s="68" t="s">
        <v>343</v>
      </c>
      <c r="W40" s="68" t="s">
        <v>344</v>
      </c>
      <c r="X40" s="68" t="s">
        <v>345</v>
      </c>
      <c r="Y40" s="68" t="s">
        <v>346</v>
      </c>
      <c r="Z40" s="68" t="s">
        <v>347</v>
      </c>
      <c r="AA40" s="68" t="s">
        <v>348</v>
      </c>
      <c r="AC40" t="s">
        <v>359</v>
      </c>
      <c r="AD40" s="71">
        <f ca="1">MEDIAN(D37:D57)</f>
        <v>3</v>
      </c>
      <c r="AE40" s="72">
        <f ca="1">MEDIAN(E37:E57)</f>
        <v>5</v>
      </c>
    </row>
    <row r="41" spans="3:31" x14ac:dyDescent="0.3">
      <c r="C41" s="2" t="s">
        <v>289</v>
      </c>
      <c r="D41" s="37" cm="1">
        <f t="array" aca="1" ref="D41" ca="1">INDIRECT("'" &amp; C41 &amp; "'!$E$78")</f>
        <v>1</v>
      </c>
      <c r="E41" s="37" cm="1">
        <f t="array" aca="1" ref="E41" ca="1">INDIRECT("'" &amp; C41 &amp; "'!$F$78")</f>
        <v>5</v>
      </c>
      <c r="G41" t="s">
        <v>302</v>
      </c>
      <c r="H41">
        <f ca="1">_xlfn.STDEV.S(D37:D57)/SQRT(COUNT(D37:D57))</f>
        <v>0.3897787034224976</v>
      </c>
      <c r="J41" t="s">
        <v>333</v>
      </c>
      <c r="K41">
        <f ca="1">[1]!SWTEST(D37:D57)</f>
        <v>1.1519811817579773E-2</v>
      </c>
      <c r="M41" t="s">
        <v>302</v>
      </c>
      <c r="N41">
        <f ca="1">_xlfn.STDEV.S(E37:E57)/SQRT(COUNT(E37:E57))</f>
        <v>0.36514837167011077</v>
      </c>
      <c r="P41" t="s">
        <v>333</v>
      </c>
      <c r="Q41">
        <f ca="1">[1]!SWTEST(E37:E57)</f>
        <v>9.4475764603648704E-3</v>
      </c>
      <c r="S41" t="s">
        <v>379</v>
      </c>
      <c r="T41">
        <f ca="1">COUNT(D37:D57)</f>
        <v>21</v>
      </c>
      <c r="U41" s="65">
        <f ca="1">AVERAGE(D37:D57)</f>
        <v>2.9047619047619047</v>
      </c>
      <c r="V41">
        <f ca="1">_xlfn.STDEV.S(D37:D57)</f>
        <v>1.7861904127153381</v>
      </c>
    </row>
    <row r="42" spans="3:31" x14ac:dyDescent="0.3">
      <c r="C42" s="2" t="s">
        <v>290</v>
      </c>
      <c r="D42" s="37" cm="1">
        <f t="array" aca="1" ref="D42" ca="1">INDIRECT("'" &amp; C42 &amp; "'!$E$78")</f>
        <v>3</v>
      </c>
      <c r="E42" s="37" cm="1">
        <f t="array" aca="1" ref="E42" ca="1">INDIRECT("'" &amp; C42 &amp; "'!$F$78")</f>
        <v>5</v>
      </c>
      <c r="G42" t="s">
        <v>303</v>
      </c>
      <c r="H42" s="65">
        <f ca="1">MEDIAN(D37:D57)</f>
        <v>3</v>
      </c>
      <c r="J42" t="s">
        <v>334</v>
      </c>
      <c r="K42">
        <v>0.05</v>
      </c>
      <c r="M42" t="s">
        <v>303</v>
      </c>
      <c r="N42" s="65">
        <f ca="1">MEDIAN(E37:E57)</f>
        <v>5</v>
      </c>
      <c r="P42" t="s">
        <v>334</v>
      </c>
      <c r="Q42">
        <v>0.05</v>
      </c>
      <c r="S42" t="s">
        <v>380</v>
      </c>
      <c r="T42">
        <f ca="1">COUNT(E37:E57)</f>
        <v>21</v>
      </c>
      <c r="U42" s="65">
        <f ca="1">AVERAGE(E37:E57)</f>
        <v>5</v>
      </c>
      <c r="V42">
        <f ca="1">_xlfn.STDEV.S(E37:E57)</f>
        <v>1.6733200530681511</v>
      </c>
      <c r="AC42" t="s">
        <v>360</v>
      </c>
      <c r="AD42" s="73">
        <f ca="1">SUMPRODUCT(--ISNUMBER(D37:D57),--ISNUMBER(E37:E57))</f>
        <v>21</v>
      </c>
    </row>
    <row r="43" spans="3:31" x14ac:dyDescent="0.3">
      <c r="C43" s="2" t="s">
        <v>291</v>
      </c>
      <c r="D43" s="37" cm="1">
        <f t="array" aca="1" ref="D43" ca="1">INDIRECT("'" &amp; C43 &amp; "'!$E$78")</f>
        <v>2</v>
      </c>
      <c r="E43" s="37" cm="1">
        <f t="array" aca="1" ref="E43" ca="1">INDIRECT("'" &amp; C43 &amp; "'!$F$78")</f>
        <v>2</v>
      </c>
      <c r="G43" t="s">
        <v>304</v>
      </c>
      <c r="H43">
        <f ca="1">MODE(D37:D57)</f>
        <v>3</v>
      </c>
      <c r="J43" s="63" t="s">
        <v>335</v>
      </c>
      <c r="K43" s="66" t="str">
        <f ca="1">IF(K41&lt;K42,"no","yes")</f>
        <v>no</v>
      </c>
      <c r="M43" t="s">
        <v>304</v>
      </c>
      <c r="N43">
        <f ca="1">MODE(E37:E57)</f>
        <v>5</v>
      </c>
      <c r="P43" s="63" t="s">
        <v>335</v>
      </c>
      <c r="Q43" s="66" t="str">
        <f ca="1">IF(Q41&lt;Q42,"no","yes")</f>
        <v>no</v>
      </c>
      <c r="S43" s="67" t="s">
        <v>349</v>
      </c>
      <c r="T43" s="67">
        <f ca="1">T42</f>
        <v>21</v>
      </c>
      <c r="U43" s="69">
        <f ca="1">U41-U42</f>
        <v>-2.0952380952380953</v>
      </c>
      <c r="V43" s="67">
        <f t="array" aca="1" ref="V43" ca="1">_xlfn.STDEV.S(D37:D57-E37:E57)</f>
        <v>1.868281614338746</v>
      </c>
      <c r="W43" s="67">
        <f ca="1">V43/SQRT(T43)</f>
        <v>0.40769247224769511</v>
      </c>
      <c r="X43" s="67">
        <f ca="1">(U41-U42-Z39)/W43</f>
        <v>-5.1392611781291988</v>
      </c>
      <c r="Y43" s="67">
        <f ca="1">T43-1</f>
        <v>20</v>
      </c>
      <c r="Z43" s="67">
        <f ca="1">ABS(U41-U42-Z39)/V43</f>
        <v>1.1214787316630945</v>
      </c>
      <c r="AA43" s="67">
        <f ca="1">SQRT(X43^2/(X43^2+Y43))</f>
        <v>0.75437193314800488</v>
      </c>
      <c r="AC43" t="s">
        <v>361</v>
      </c>
      <c r="AD43" s="74">
        <f ca="1">SUMPRODUCT(--ISNUMBER(D37:D57),--ISNUMBER(E37:E57),--(D37:D57&lt;&gt;E37:E57))</f>
        <v>17</v>
      </c>
    </row>
    <row r="44" spans="3:31" x14ac:dyDescent="0.3">
      <c r="C44" s="2" t="s">
        <v>292</v>
      </c>
      <c r="D44" s="37" cm="1">
        <f t="array" aca="1" ref="D44" ca="1">INDIRECT("'" &amp; C44 &amp; "'!$E$78")</f>
        <v>1</v>
      </c>
      <c r="E44" s="37" cm="1">
        <f t="array" aca="1" ref="E44" ca="1">INDIRECT("'" &amp; C44 &amp; "'!$F$78")</f>
        <v>6</v>
      </c>
      <c r="G44" t="s">
        <v>305</v>
      </c>
      <c r="H44">
        <f ca="1">_xlfn.STDEV.S(D37:D57)</f>
        <v>1.7861904127153381</v>
      </c>
      <c r="M44" t="s">
        <v>305</v>
      </c>
      <c r="N44">
        <f ca="1">_xlfn.STDEV.S(E37:E57)</f>
        <v>1.6733200530681511</v>
      </c>
      <c r="AC44" t="s">
        <v>362</v>
      </c>
      <c r="AD44" s="74">
        <f ca="1">IF(AD46&lt;=AD49,AD46,AD43*(AD43+1)/2)</f>
        <v>3</v>
      </c>
    </row>
    <row r="45" spans="3:31" ht="15" thickBot="1" x14ac:dyDescent="0.35">
      <c r="C45" s="2" t="s">
        <v>293</v>
      </c>
      <c r="D45" s="37" cm="1">
        <f t="array" aca="1" ref="D45" ca="1">INDIRECT("'" &amp; C45 &amp; "'!$E$78")</f>
        <v>1</v>
      </c>
      <c r="E45" s="37" cm="1">
        <f t="array" aca="1" ref="E45" ca="1">INDIRECT("'" &amp; C45 &amp; "'!$F$78")</f>
        <v>5</v>
      </c>
      <c r="G45" t="s">
        <v>306</v>
      </c>
      <c r="H45">
        <f ca="1">_xlfn.VAR.S(D37:D57)</f>
        <v>3.1904761904761898</v>
      </c>
      <c r="J45" t="s">
        <v>336</v>
      </c>
      <c r="M45" t="s">
        <v>306</v>
      </c>
      <c r="N45">
        <f ca="1">_xlfn.VAR.S(E37:E57)</f>
        <v>2.8</v>
      </c>
      <c r="P45" t="s">
        <v>336</v>
      </c>
      <c r="S45" t="s">
        <v>350</v>
      </c>
      <c r="AC45" t="s">
        <v>363</v>
      </c>
      <c r="AD45" s="74">
        <f ca="1">AD43*(AD43+1)/2-AD44</f>
        <v>150</v>
      </c>
    </row>
    <row r="46" spans="3:31" ht="15" thickTop="1" x14ac:dyDescent="0.3">
      <c r="C46" s="2" t="s">
        <v>294</v>
      </c>
      <c r="D46" s="37" cm="1">
        <f t="array" aca="1" ref="D46" ca="1">INDIRECT("'" &amp; C46 &amp; "'!$E$78")</f>
        <v>2</v>
      </c>
      <c r="E46" s="37" cm="1">
        <f t="array" aca="1" ref="E46" ca="1">INDIRECT("'" &amp; C46 &amp; "'!$F$78")</f>
        <v>7</v>
      </c>
      <c r="G46" t="s">
        <v>307</v>
      </c>
      <c r="H46">
        <f ca="1">KURT(D37:D57)</f>
        <v>-0.11232369183149293</v>
      </c>
      <c r="M46" t="s">
        <v>307</v>
      </c>
      <c r="N46">
        <f ca="1">KURT(E37:E57)</f>
        <v>0.69548872180451093</v>
      </c>
      <c r="S46" s="68" t="s">
        <v>351</v>
      </c>
      <c r="T46" s="68" t="s">
        <v>333</v>
      </c>
      <c r="U46" s="68" t="s">
        <v>352</v>
      </c>
      <c r="V46" s="68" t="s">
        <v>353</v>
      </c>
      <c r="W46" s="68" t="s">
        <v>354</v>
      </c>
      <c r="X46" s="68" t="s">
        <v>355</v>
      </c>
      <c r="AC46" t="s">
        <v>364</v>
      </c>
      <c r="AD46" s="75">
        <f ca="1">[1]!SRANK(D37:D57,E37:E57)</f>
        <v>3</v>
      </c>
    </row>
    <row r="47" spans="3:31" x14ac:dyDescent="0.3">
      <c r="C47" s="2" t="s">
        <v>295</v>
      </c>
      <c r="D47" s="37" cm="1">
        <f t="array" aca="1" ref="D47" ca="1">INDIRECT("'" &amp; C47 &amp; "'!$E$78")</f>
        <v>7</v>
      </c>
      <c r="E47" s="37" cm="1">
        <f t="array" aca="1" ref="E47" ca="1">INDIRECT("'" &amp; C47 &amp; "'!$F$78")</f>
        <v>7</v>
      </c>
      <c r="G47" t="s">
        <v>308</v>
      </c>
      <c r="H47">
        <f ca="1">SKEW(D37:D57)</f>
        <v>0.79760037498108038</v>
      </c>
      <c r="J47" s="67" t="s">
        <v>337</v>
      </c>
      <c r="K47" s="67">
        <f ca="1">[1]!DAGOSTINO(D37:D57)</f>
        <v>2.5948566458730755</v>
      </c>
      <c r="M47" t="s">
        <v>308</v>
      </c>
      <c r="N47">
        <f ca="1">SKEW(E37:E57)</f>
        <v>-0.9907816103692999</v>
      </c>
      <c r="P47" s="67" t="s">
        <v>337</v>
      </c>
      <c r="Q47" s="67">
        <f ca="1">[1]!DAGOSTINO(E37:E57)</f>
        <v>4.6069003420561714</v>
      </c>
      <c r="S47" t="s">
        <v>356</v>
      </c>
      <c r="T47">
        <f ca="1">_xlfn.T.DIST.RT(ABS(X43),Y43)</f>
        <v>2.4971884136674119E-5</v>
      </c>
      <c r="U47">
        <f ca="1">_xlfn.T.INV.2T(W39*2,Y43)</f>
        <v>1.7247182429207868</v>
      </c>
      <c r="X47" s="70" t="str">
        <f ca="1">IF(T47&lt;W39,"yes","no")</f>
        <v>yes</v>
      </c>
    </row>
    <row r="48" spans="3:31" x14ac:dyDescent="0.3">
      <c r="C48" s="2" t="s">
        <v>296</v>
      </c>
      <c r="D48" s="37" cm="1">
        <f t="array" aca="1" ref="D48" ca="1">INDIRECT("'" &amp; C48 &amp; "'!$E$78")</f>
        <v>5</v>
      </c>
      <c r="E48" s="37" cm="1">
        <f t="array" aca="1" ref="E48" ca="1">INDIRECT("'" &amp; C48 &amp; "'!$F$78")</f>
        <v>6</v>
      </c>
      <c r="G48" t="s">
        <v>309</v>
      </c>
      <c r="H48">
        <f ca="1">H49-H50</f>
        <v>6</v>
      </c>
      <c r="J48" t="s">
        <v>333</v>
      </c>
      <c r="K48">
        <f ca="1">[1]!DPTEST(D37:D57)</f>
        <v>0.27323355876587874</v>
      </c>
      <c r="M48" t="s">
        <v>309</v>
      </c>
      <c r="N48">
        <f ca="1">N49-N50</f>
        <v>6</v>
      </c>
      <c r="P48" t="s">
        <v>333</v>
      </c>
      <c r="Q48">
        <f ca="1">[1]!DPTEST(E37:E57)</f>
        <v>9.9913529603808726E-2</v>
      </c>
      <c r="S48" t="s">
        <v>357</v>
      </c>
      <c r="T48">
        <f ca="1">_xlfn.T.DIST.2T(ABS(X43),Y43)</f>
        <v>4.9943768273348239E-5</v>
      </c>
      <c r="U48">
        <f ca="1">_xlfn.T.INV.2T(W39,Y43)</f>
        <v>2.0859634472658648</v>
      </c>
      <c r="V48">
        <f ca="1">(U41-U42)-W43*U48</f>
        <v>-2.9456696900722403</v>
      </c>
      <c r="W48">
        <f ca="1">(U41-U42)+W43*U48</f>
        <v>-1.2448065004039504</v>
      </c>
      <c r="X48" s="70" t="str">
        <f ca="1">IF(T48&lt;W39,"yes","no")</f>
        <v>yes</v>
      </c>
      <c r="AD48" s="70" t="s">
        <v>365</v>
      </c>
      <c r="AE48" s="70" t="s">
        <v>366</v>
      </c>
    </row>
    <row r="49" spans="3:31" x14ac:dyDescent="0.3">
      <c r="C49" s="2" t="s">
        <v>297</v>
      </c>
      <c r="D49" s="37" cm="1">
        <f t="array" aca="1" ref="D49" ca="1">INDIRECT("'" &amp; C49 &amp; "'!$E$78")</f>
        <v>3</v>
      </c>
      <c r="E49" s="37" cm="1">
        <f t="array" aca="1" ref="E49" ca="1">INDIRECT("'" &amp; C49 &amp; "'!$F$78")</f>
        <v>5</v>
      </c>
      <c r="G49" t="s">
        <v>310</v>
      </c>
      <c r="H49" s="65">
        <f ca="1">MAX(D37:D57)</f>
        <v>7</v>
      </c>
      <c r="J49" t="s">
        <v>334</v>
      </c>
      <c r="K49">
        <v>0.05</v>
      </c>
      <c r="M49" t="s">
        <v>310</v>
      </c>
      <c r="N49" s="65">
        <f ca="1">MAX(E37:E57)</f>
        <v>7</v>
      </c>
      <c r="P49" t="s">
        <v>334</v>
      </c>
      <c r="Q49">
        <v>0.05</v>
      </c>
      <c r="S49" s="67"/>
      <c r="T49" s="67"/>
      <c r="U49" s="67"/>
      <c r="V49" s="67"/>
      <c r="W49" s="67"/>
      <c r="X49" s="67"/>
      <c r="AC49" t="s">
        <v>367</v>
      </c>
      <c r="AD49" s="73">
        <f ca="1">AD43*(AD43+1)/4</f>
        <v>76.5</v>
      </c>
    </row>
    <row r="50" spans="3:31" x14ac:dyDescent="0.3">
      <c r="C50" s="2" t="s">
        <v>298</v>
      </c>
      <c r="D50" s="37" cm="1">
        <f t="array" aca="1" ref="D50" ca="1">INDIRECT("'" &amp; C50 &amp; "'!$E$78")</f>
        <v>1</v>
      </c>
      <c r="E50" s="37" cm="1">
        <f t="array" aca="1" ref="E50" ca="1">INDIRECT("'" &amp; C50 &amp; "'!$F$78")</f>
        <v>1</v>
      </c>
      <c r="G50" t="s">
        <v>311</v>
      </c>
      <c r="H50" s="65">
        <f ca="1">MIN(D37:D57)</f>
        <v>1</v>
      </c>
      <c r="J50" s="63" t="s">
        <v>335</v>
      </c>
      <c r="K50" s="66" t="str">
        <f ca="1">IF(K48&lt;K49,"no","yes")</f>
        <v>yes</v>
      </c>
      <c r="M50" t="s">
        <v>311</v>
      </c>
      <c r="N50" s="65">
        <f ca="1">MIN(E37:E57)</f>
        <v>1</v>
      </c>
      <c r="P50" s="63" t="s">
        <v>335</v>
      </c>
      <c r="Q50" s="66" t="str">
        <f ca="1">IF(Q48&lt;Q49,"no","yes")</f>
        <v>yes</v>
      </c>
      <c r="AC50" t="s">
        <v>368</v>
      </c>
      <c r="AD50" s="74">
        <f ca="1">SQRT(AD49*(2*AD43+1)/6-[1]!TiesCorrection(D37:D57,E37:E57,1)/48)</f>
        <v>21.008926674154488</v>
      </c>
      <c r="AE50" t="s">
        <v>369</v>
      </c>
    </row>
    <row r="51" spans="3:31" x14ac:dyDescent="0.3">
      <c r="C51" s="2" t="s">
        <v>299</v>
      </c>
      <c r="D51" s="37" cm="1">
        <f t="array" aca="1" ref="D51" ca="1">INDIRECT("'" &amp; C51 &amp; "'!$E$78")</f>
        <v>3</v>
      </c>
      <c r="E51" s="37" cm="1">
        <f t="array" aca="1" ref="E51" ca="1">INDIRECT("'" &amp; C51 &amp; "'!$F$78")</f>
        <v>4</v>
      </c>
      <c r="G51" t="s">
        <v>312</v>
      </c>
      <c r="H51" s="65">
        <f ca="1">SUM(D37:D57)</f>
        <v>61</v>
      </c>
      <c r="M51" t="s">
        <v>312</v>
      </c>
      <c r="N51" s="65">
        <f ca="1">SUM(E37:E57)</f>
        <v>105</v>
      </c>
      <c r="AC51" t="s">
        <v>370</v>
      </c>
      <c r="AD51" s="74">
        <f ca="1">ABS(ABS(AD46-AD49)-1/2)/AD50</f>
        <v>3.4747134459660782</v>
      </c>
      <c r="AE51" t="s">
        <v>371</v>
      </c>
    </row>
    <row r="52" spans="3:31" x14ac:dyDescent="0.3">
      <c r="C52" s="2" t="s">
        <v>395</v>
      </c>
      <c r="D52" s="37" cm="1">
        <f t="array" aca="1" ref="D52" ca="1">INDIRECT("'" &amp; C52 &amp; "'!$E$78")</f>
        <v>5</v>
      </c>
      <c r="E52" s="37" cm="1">
        <f t="array" aca="1" ref="E52" ca="1">INDIRECT("'" &amp; C52 &amp; "'!$F$78")</f>
        <v>5</v>
      </c>
      <c r="G52" t="s">
        <v>313</v>
      </c>
      <c r="H52">
        <f ca="1">COUNT(D37:D57)</f>
        <v>21</v>
      </c>
      <c r="M52" t="s">
        <v>313</v>
      </c>
      <c r="N52">
        <f ca="1">COUNT(E37:E57)</f>
        <v>21</v>
      </c>
      <c r="AC52" t="s">
        <v>372</v>
      </c>
      <c r="AD52" s="74">
        <f ca="1">AD51/SQRT(AD43)</f>
        <v>0.84274179743953315</v>
      </c>
    </row>
    <row r="53" spans="3:31" x14ac:dyDescent="0.3">
      <c r="C53" s="2" t="s">
        <v>396</v>
      </c>
      <c r="D53" s="37" cm="1">
        <f t="array" aca="1" ref="D53" ca="1">INDIRECT("'" &amp; C53 &amp; "'!$E$78")</f>
        <v>1</v>
      </c>
      <c r="E53" s="37" cm="1">
        <f t="array" aca="1" ref="E53" ca="1">INDIRECT("'" &amp; C53 &amp; "'!$F$78")</f>
        <v>5</v>
      </c>
      <c r="G53" t="s">
        <v>314</v>
      </c>
      <c r="H53">
        <f ca="1">GEOMEAN(D37:D57)</f>
        <v>2.394391413156419</v>
      </c>
      <c r="M53" t="s">
        <v>314</v>
      </c>
      <c r="N53">
        <f ca="1">GEOMEAN(E37:E57)</f>
        <v>4.5864134100227263</v>
      </c>
      <c r="AC53" t="s">
        <v>373</v>
      </c>
      <c r="AD53" s="73">
        <f ca="1">1-_xlfn.NORM.S.DIST(AD51,TRUE)</f>
        <v>2.5569966392202659E-4</v>
      </c>
      <c r="AE53" s="76">
        <f ca="1">2*AD53</f>
        <v>5.1139932784405318E-4</v>
      </c>
    </row>
    <row r="54" spans="3:31" x14ac:dyDescent="0.3">
      <c r="C54" s="2" t="s">
        <v>397</v>
      </c>
      <c r="D54" s="37" cm="1">
        <f t="array" aca="1" ref="D54" ca="1">INDIRECT("'" &amp; C54 &amp; "'!$E$78")</f>
        <v>5</v>
      </c>
      <c r="E54" s="37" cm="1">
        <f t="array" aca="1" ref="E54" ca="1">INDIRECT("'" &amp; C54 &amp; "'!$F$78")</f>
        <v>7</v>
      </c>
      <c r="G54" t="s">
        <v>315</v>
      </c>
      <c r="H54">
        <f ca="1">HARMEAN(D37:D57)</f>
        <v>1.9547872340425532</v>
      </c>
      <c r="M54" t="s">
        <v>315</v>
      </c>
      <c r="N54">
        <f ca="1">HARMEAN(E37:E57)</f>
        <v>3.9339875111507583</v>
      </c>
      <c r="AC54" t="s">
        <v>374</v>
      </c>
      <c r="AD54" s="74">
        <f ca="1">[1]!SRDIST(AD46,AD43,1)</f>
        <v>3.814697265625E-5</v>
      </c>
      <c r="AE54" s="77">
        <f ca="1">2*AD54</f>
        <v>7.62939453125E-5</v>
      </c>
    </row>
    <row r="55" spans="3:31" x14ac:dyDescent="0.3">
      <c r="C55" s="2" t="s">
        <v>398</v>
      </c>
      <c r="D55" s="37" cm="1">
        <f t="array" aca="1" ref="D55" ca="1">INDIRECT("'" &amp; C55 &amp; "'!$E$78")</f>
        <v>3</v>
      </c>
      <c r="E55" s="37" cm="1">
        <f t="array" aca="1" ref="E55" ca="1">INDIRECT("'" &amp; C55 &amp; "'!$F$78")</f>
        <v>2</v>
      </c>
      <c r="G55" t="s">
        <v>316</v>
      </c>
      <c r="H55">
        <f ca="1">AVEDEV(D37:D57)</f>
        <v>1.346938775510204</v>
      </c>
      <c r="M55" t="s">
        <v>316</v>
      </c>
      <c r="N55">
        <f ca="1">AVEDEV(E37:E57)</f>
        <v>1.1428571428571428</v>
      </c>
      <c r="AC55" t="s">
        <v>375</v>
      </c>
      <c r="AD55" s="75" t="s">
        <v>376</v>
      </c>
      <c r="AE55" s="78" t="s">
        <v>376</v>
      </c>
    </row>
    <row r="56" spans="3:31" x14ac:dyDescent="0.3">
      <c r="C56" s="2" t="s">
        <v>399</v>
      </c>
      <c r="D56" s="37" cm="1">
        <f t="array" aca="1" ref="D56" ca="1">INDIRECT("'" &amp; C56 &amp; "'!$E$78")</f>
        <v>6</v>
      </c>
      <c r="E56" s="37" cm="1">
        <f t="array" aca="1" ref="E56" ca="1">INDIRECT("'" &amp; C56 &amp; "'!$F$78")</f>
        <v>7</v>
      </c>
      <c r="G56" t="s">
        <v>317</v>
      </c>
      <c r="H56">
        <f ca="1">[1]!MAD(D37:D57)</f>
        <v>2</v>
      </c>
      <c r="M56" t="s">
        <v>317</v>
      </c>
      <c r="N56">
        <f ca="1">[1]!MAD(E37:E57)</f>
        <v>1</v>
      </c>
    </row>
    <row r="57" spans="3:31" x14ac:dyDescent="0.3">
      <c r="C57" s="2" t="s">
        <v>400</v>
      </c>
      <c r="D57" s="37" cm="1">
        <f t="array" aca="1" ref="D57" ca="1">INDIRECT("'" &amp; C57 &amp; "'!$E$78")</f>
        <v>3</v>
      </c>
      <c r="E57" s="37" cm="1">
        <f t="array" aca="1" ref="E57" ca="1">INDIRECT("'" &amp; C57 &amp; "'!$F$78")</f>
        <v>4</v>
      </c>
      <c r="G57" s="63" t="s">
        <v>318</v>
      </c>
      <c r="H57" s="63">
        <f ca="1">[1]!IQR(D37:D57,FALSE)</f>
        <v>2</v>
      </c>
      <c r="M57" s="63" t="s">
        <v>318</v>
      </c>
      <c r="N57" s="63">
        <f ca="1">[1]!IQR(E37:E57,FALSE)</f>
        <v>1</v>
      </c>
    </row>
    <row r="63" spans="3:31" x14ac:dyDescent="0.3">
      <c r="C63" s="2"/>
      <c r="D63" s="59" t="s">
        <v>113</v>
      </c>
      <c r="E63" s="2"/>
    </row>
    <row r="64" spans="3:31" x14ac:dyDescent="0.3">
      <c r="C64" s="2"/>
      <c r="D64" s="2"/>
      <c r="E64" s="2"/>
    </row>
    <row r="65" spans="3:31" x14ac:dyDescent="0.3">
      <c r="C65" s="2" t="s">
        <v>285</v>
      </c>
      <c r="D65" s="37" cm="1">
        <f t="array" aca="1" ref="D65" ca="1">INDIRECT("'" &amp; C65 &amp; "'!$E$78")</f>
        <v>2</v>
      </c>
      <c r="E65" s="37" cm="1">
        <f t="array" aca="1" ref="E65" ca="1">INDIRECT("'" &amp; C65 &amp; "'!$F$78")</f>
        <v>5</v>
      </c>
      <c r="G65" t="s">
        <v>300</v>
      </c>
      <c r="J65" t="s">
        <v>331</v>
      </c>
      <c r="M65" t="s">
        <v>300</v>
      </c>
      <c r="P65" t="s">
        <v>331</v>
      </c>
      <c r="S65" t="s">
        <v>338</v>
      </c>
      <c r="AC65" t="s">
        <v>358</v>
      </c>
    </row>
    <row r="66" spans="3:31" x14ac:dyDescent="0.3">
      <c r="C66" s="2" t="s">
        <v>286</v>
      </c>
      <c r="D66" s="37" cm="1">
        <f t="array" aca="1" ref="D66" ca="1">INDIRECT("'" &amp; C66 &amp; "'!$E$78")</f>
        <v>3</v>
      </c>
      <c r="E66" s="37" cm="1">
        <f t="array" aca="1" ref="E66" ca="1">INDIRECT("'" &amp; C66 &amp; "'!$F$78")</f>
        <v>5</v>
      </c>
    </row>
    <row r="67" spans="3:31" ht="15" thickBot="1" x14ac:dyDescent="0.35">
      <c r="C67" s="2" t="s">
        <v>287</v>
      </c>
      <c r="D67" s="37" cm="1">
        <f t="array" aca="1" ref="D67" ca="1">INDIRECT("'" &amp; C67 &amp; "'!$E$78")</f>
        <v>3</v>
      </c>
      <c r="E67" s="37" cm="1">
        <f t="array" aca="1" ref="E67" ca="1">INDIRECT("'" &amp; C67 &amp; "'!$F$78")</f>
        <v>6</v>
      </c>
      <c r="G67" s="64"/>
      <c r="H67" s="64" t="s">
        <v>379</v>
      </c>
      <c r="J67" s="64"/>
      <c r="K67" s="64" t="s">
        <v>379</v>
      </c>
      <c r="M67" s="64"/>
      <c r="N67" s="64" t="s">
        <v>379</v>
      </c>
      <c r="P67" s="64"/>
      <c r="Q67" s="64" t="s">
        <v>379</v>
      </c>
      <c r="S67" t="s">
        <v>339</v>
      </c>
      <c r="V67" t="s">
        <v>340</v>
      </c>
      <c r="W67">
        <v>0.05</v>
      </c>
      <c r="Y67" t="s">
        <v>341</v>
      </c>
      <c r="Z67">
        <v>0</v>
      </c>
      <c r="AD67" t="s">
        <v>381</v>
      </c>
      <c r="AE67" t="s">
        <v>382</v>
      </c>
    </row>
    <row r="68" spans="3:31" ht="15" thickTop="1" x14ac:dyDescent="0.3">
      <c r="C68" s="2" t="s">
        <v>288</v>
      </c>
      <c r="D68" s="37" cm="1">
        <f t="array" aca="1" ref="D68" ca="1">INDIRECT("'" &amp; C68 &amp; "'!$E$78")</f>
        <v>1</v>
      </c>
      <c r="E68" s="37" cm="1">
        <f t="array" aca="1" ref="E68" ca="1">INDIRECT("'" &amp; C68 &amp; "'!$F$78")</f>
        <v>6</v>
      </c>
      <c r="G68" t="s">
        <v>301</v>
      </c>
      <c r="H68" s="65">
        <f ca="1">AVERAGE(D65:D85)</f>
        <v>2.9047619047619047</v>
      </c>
      <c r="J68" t="s">
        <v>332</v>
      </c>
      <c r="K68">
        <f ca="1">[1]!SHAPIRO(D65:D85)</f>
        <v>0.87440185471664433</v>
      </c>
      <c r="M68" t="s">
        <v>301</v>
      </c>
      <c r="N68" s="65">
        <f ca="1">AVERAGE(E65:E85)</f>
        <v>5</v>
      </c>
      <c r="P68" t="s">
        <v>332</v>
      </c>
      <c r="Q68">
        <f ca="1">[1]!SHAPIRO(E65:E85)</f>
        <v>0.86966674904881547</v>
      </c>
      <c r="S68" s="68" t="s">
        <v>342</v>
      </c>
      <c r="T68" s="68" t="s">
        <v>313</v>
      </c>
      <c r="U68" s="68" t="s">
        <v>301</v>
      </c>
      <c r="V68" s="68" t="s">
        <v>343</v>
      </c>
      <c r="W68" s="68" t="s">
        <v>344</v>
      </c>
      <c r="X68" s="68" t="s">
        <v>345</v>
      </c>
      <c r="Y68" s="68" t="s">
        <v>346</v>
      </c>
      <c r="Z68" s="68" t="s">
        <v>347</v>
      </c>
      <c r="AA68" s="68" t="s">
        <v>348</v>
      </c>
      <c r="AC68" t="s">
        <v>359</v>
      </c>
      <c r="AD68" s="71">
        <f ca="1">MEDIAN(D65:D85)</f>
        <v>3</v>
      </c>
      <c r="AE68" s="72">
        <f ca="1">MEDIAN(E65:E85)</f>
        <v>5</v>
      </c>
    </row>
    <row r="69" spans="3:31" x14ac:dyDescent="0.3">
      <c r="C69" s="2" t="s">
        <v>289</v>
      </c>
      <c r="D69" s="37" cm="1">
        <f t="array" aca="1" ref="D69" ca="1">INDIRECT("'" &amp; C69 &amp; "'!$E$78")</f>
        <v>1</v>
      </c>
      <c r="E69" s="37" cm="1">
        <f t="array" aca="1" ref="E69" ca="1">INDIRECT("'" &amp; C69 &amp; "'!$F$78")</f>
        <v>5</v>
      </c>
      <c r="G69" t="s">
        <v>302</v>
      </c>
      <c r="H69">
        <f ca="1">_xlfn.STDEV.S(D65:D85)/SQRT(COUNT(D65:D85))</f>
        <v>0.3897787034224976</v>
      </c>
      <c r="J69" t="s">
        <v>333</v>
      </c>
      <c r="K69">
        <f ca="1">[1]!SWTEST(D65:D85)</f>
        <v>1.1519811817579773E-2</v>
      </c>
      <c r="M69" t="s">
        <v>302</v>
      </c>
      <c r="N69">
        <f ca="1">_xlfn.STDEV.S(E65:E85)/SQRT(COUNT(E65:E85))</f>
        <v>0.36514837167011077</v>
      </c>
      <c r="P69" t="s">
        <v>333</v>
      </c>
      <c r="Q69">
        <f ca="1">[1]!SWTEST(E65:E85)</f>
        <v>9.4475764603648704E-3</v>
      </c>
      <c r="S69" t="s">
        <v>379</v>
      </c>
      <c r="T69">
        <f ca="1">COUNT(D65:D85)</f>
        <v>21</v>
      </c>
      <c r="U69" s="65">
        <f ca="1">AVERAGE(D65:D85)</f>
        <v>2.9047619047619047</v>
      </c>
      <c r="V69">
        <f ca="1">_xlfn.STDEV.S(D65:D85)</f>
        <v>1.7861904127153381</v>
      </c>
    </row>
    <row r="70" spans="3:31" x14ac:dyDescent="0.3">
      <c r="C70" s="2" t="s">
        <v>290</v>
      </c>
      <c r="D70" s="37" cm="1">
        <f t="array" aca="1" ref="D70" ca="1">INDIRECT("'" &amp; C70 &amp; "'!$E$78")</f>
        <v>3</v>
      </c>
      <c r="E70" s="37" cm="1">
        <f t="array" aca="1" ref="E70" ca="1">INDIRECT("'" &amp; C70 &amp; "'!$F$78")</f>
        <v>5</v>
      </c>
      <c r="G70" t="s">
        <v>303</v>
      </c>
      <c r="H70" s="65">
        <f ca="1">MEDIAN(D65:D85)</f>
        <v>3</v>
      </c>
      <c r="J70" t="s">
        <v>334</v>
      </c>
      <c r="K70">
        <v>0.05</v>
      </c>
      <c r="M70" t="s">
        <v>303</v>
      </c>
      <c r="N70" s="65">
        <f ca="1">MEDIAN(E65:E85)</f>
        <v>5</v>
      </c>
      <c r="P70" t="s">
        <v>334</v>
      </c>
      <c r="Q70">
        <v>0.05</v>
      </c>
      <c r="S70" t="s">
        <v>380</v>
      </c>
      <c r="T70">
        <f ca="1">COUNT(E65:E85)</f>
        <v>21</v>
      </c>
      <c r="U70" s="65">
        <f ca="1">AVERAGE(E65:E85)</f>
        <v>5</v>
      </c>
      <c r="V70">
        <f ca="1">_xlfn.STDEV.S(E65:E85)</f>
        <v>1.6733200530681511</v>
      </c>
      <c r="AC70" t="s">
        <v>360</v>
      </c>
      <c r="AD70" s="73">
        <f ca="1">SUMPRODUCT(--ISNUMBER(D65:D85),--ISNUMBER(E65:E85))</f>
        <v>21</v>
      </c>
    </row>
    <row r="71" spans="3:31" x14ac:dyDescent="0.3">
      <c r="C71" s="2" t="s">
        <v>291</v>
      </c>
      <c r="D71" s="37" cm="1">
        <f t="array" aca="1" ref="D71" ca="1">INDIRECT("'" &amp; C71 &amp; "'!$E$78")</f>
        <v>2</v>
      </c>
      <c r="E71" s="37" cm="1">
        <f t="array" aca="1" ref="E71" ca="1">INDIRECT("'" &amp; C71 &amp; "'!$F$78")</f>
        <v>2</v>
      </c>
      <c r="G71" t="s">
        <v>304</v>
      </c>
      <c r="H71">
        <f ca="1">MODE(D65:D85)</f>
        <v>3</v>
      </c>
      <c r="J71" s="63" t="s">
        <v>335</v>
      </c>
      <c r="K71" s="66" t="str">
        <f ca="1">IF(K69&lt;K70,"no","yes")</f>
        <v>no</v>
      </c>
      <c r="M71" t="s">
        <v>304</v>
      </c>
      <c r="N71">
        <f ca="1">MODE(E65:E85)</f>
        <v>5</v>
      </c>
      <c r="P71" s="63" t="s">
        <v>335</v>
      </c>
      <c r="Q71" s="66" t="str">
        <f ca="1">IF(Q69&lt;Q70,"no","yes")</f>
        <v>no</v>
      </c>
      <c r="S71" s="67" t="s">
        <v>349</v>
      </c>
      <c r="T71" s="67">
        <f ca="1">T70</f>
        <v>21</v>
      </c>
      <c r="U71" s="69">
        <f ca="1">U69-U70</f>
        <v>-2.0952380952380953</v>
      </c>
      <c r="V71" s="67">
        <f t="array" aca="1" ref="V71" ca="1">_xlfn.STDEV.S(D65:D85-E65:E85)</f>
        <v>1.868281614338746</v>
      </c>
      <c r="W71" s="67">
        <f ca="1">V71/SQRT(T71)</f>
        <v>0.40769247224769511</v>
      </c>
      <c r="X71" s="67">
        <f ca="1">(U69-U70-Z67)/W71</f>
        <v>-5.1392611781291988</v>
      </c>
      <c r="Y71" s="67">
        <f ca="1">T71-1</f>
        <v>20</v>
      </c>
      <c r="Z71" s="67">
        <f ca="1">ABS(U69-U70-Z67)/V71</f>
        <v>1.1214787316630945</v>
      </c>
      <c r="AA71" s="67">
        <f ca="1">SQRT(X71^2/(X71^2+Y71))</f>
        <v>0.75437193314800488</v>
      </c>
      <c r="AC71" t="s">
        <v>361</v>
      </c>
      <c r="AD71" s="74">
        <f ca="1">SUMPRODUCT(--ISNUMBER(D65:D85),--ISNUMBER(E65:E85),--(D65:D85&lt;&gt;E65:E85))</f>
        <v>17</v>
      </c>
    </row>
    <row r="72" spans="3:31" x14ac:dyDescent="0.3">
      <c r="C72" s="2" t="s">
        <v>292</v>
      </c>
      <c r="D72" s="37" cm="1">
        <f t="array" aca="1" ref="D72" ca="1">INDIRECT("'" &amp; C72 &amp; "'!$E$78")</f>
        <v>1</v>
      </c>
      <c r="E72" s="37" cm="1">
        <f t="array" aca="1" ref="E72" ca="1">INDIRECT("'" &amp; C72 &amp; "'!$F$78")</f>
        <v>6</v>
      </c>
      <c r="G72" t="s">
        <v>305</v>
      </c>
      <c r="H72">
        <f ca="1">_xlfn.STDEV.S(D65:D85)</f>
        <v>1.7861904127153381</v>
      </c>
      <c r="M72" t="s">
        <v>305</v>
      </c>
      <c r="N72">
        <f ca="1">_xlfn.STDEV.S(E65:E85)</f>
        <v>1.6733200530681511</v>
      </c>
      <c r="AC72" t="s">
        <v>362</v>
      </c>
      <c r="AD72" s="74">
        <f ca="1">IF(AD74&lt;=AD77,AD74,AD71*(AD71+1)/2)</f>
        <v>3</v>
      </c>
    </row>
    <row r="73" spans="3:31" ht="15" thickBot="1" x14ac:dyDescent="0.35">
      <c r="C73" s="2" t="s">
        <v>293</v>
      </c>
      <c r="D73" s="37" cm="1">
        <f t="array" aca="1" ref="D73" ca="1">INDIRECT("'" &amp; C73 &amp; "'!$E$78")</f>
        <v>1</v>
      </c>
      <c r="E73" s="37" cm="1">
        <f t="array" aca="1" ref="E73" ca="1">INDIRECT("'" &amp; C73 &amp; "'!$F$78")</f>
        <v>5</v>
      </c>
      <c r="G73" t="s">
        <v>306</v>
      </c>
      <c r="H73">
        <f ca="1">_xlfn.VAR.S(D65:D85)</f>
        <v>3.1904761904761898</v>
      </c>
      <c r="J73" t="s">
        <v>336</v>
      </c>
      <c r="M73" t="s">
        <v>306</v>
      </c>
      <c r="N73">
        <f ca="1">_xlfn.VAR.S(E65:E85)</f>
        <v>2.8</v>
      </c>
      <c r="P73" t="s">
        <v>336</v>
      </c>
      <c r="S73" t="s">
        <v>350</v>
      </c>
      <c r="AC73" t="s">
        <v>363</v>
      </c>
      <c r="AD73" s="74">
        <f ca="1">AD71*(AD71+1)/2-AD72</f>
        <v>150</v>
      </c>
    </row>
    <row r="74" spans="3:31" ht="15" thickTop="1" x14ac:dyDescent="0.3">
      <c r="C74" s="2" t="s">
        <v>294</v>
      </c>
      <c r="D74" s="37" cm="1">
        <f t="array" aca="1" ref="D74" ca="1">INDIRECT("'" &amp; C74 &amp; "'!$E$78")</f>
        <v>2</v>
      </c>
      <c r="E74" s="37" cm="1">
        <f t="array" aca="1" ref="E74" ca="1">INDIRECT("'" &amp; C74 &amp; "'!$F$78")</f>
        <v>7</v>
      </c>
      <c r="G74" t="s">
        <v>307</v>
      </c>
      <c r="H74">
        <f ca="1">KURT(D65:D85)</f>
        <v>-0.11232369183149293</v>
      </c>
      <c r="M74" t="s">
        <v>307</v>
      </c>
      <c r="N74">
        <f ca="1">KURT(E65:E85)</f>
        <v>0.69548872180451093</v>
      </c>
      <c r="S74" s="68" t="s">
        <v>351</v>
      </c>
      <c r="T74" s="68" t="s">
        <v>333</v>
      </c>
      <c r="U74" s="68" t="s">
        <v>352</v>
      </c>
      <c r="V74" s="68" t="s">
        <v>353</v>
      </c>
      <c r="W74" s="68" t="s">
        <v>354</v>
      </c>
      <c r="X74" s="68" t="s">
        <v>355</v>
      </c>
      <c r="AC74" t="s">
        <v>364</v>
      </c>
      <c r="AD74" s="75">
        <f ca="1">[1]!SRANK(D65:D85,E65:E85)</f>
        <v>3</v>
      </c>
    </row>
    <row r="75" spans="3:31" x14ac:dyDescent="0.3">
      <c r="C75" s="2" t="s">
        <v>295</v>
      </c>
      <c r="D75" s="37" cm="1">
        <f t="array" aca="1" ref="D75" ca="1">INDIRECT("'" &amp; C75 &amp; "'!$E$78")</f>
        <v>7</v>
      </c>
      <c r="E75" s="37" cm="1">
        <f t="array" aca="1" ref="E75" ca="1">INDIRECT("'" &amp; C75 &amp; "'!$F$78")</f>
        <v>7</v>
      </c>
      <c r="G75" t="s">
        <v>308</v>
      </c>
      <c r="H75">
        <f ca="1">SKEW(D65:D85)</f>
        <v>0.79760037498108038</v>
      </c>
      <c r="J75" s="67" t="s">
        <v>337</v>
      </c>
      <c r="K75" s="67">
        <f ca="1">[1]!DAGOSTINO(D65:D85)</f>
        <v>2.5948566458730755</v>
      </c>
      <c r="M75" t="s">
        <v>308</v>
      </c>
      <c r="N75">
        <f ca="1">SKEW(E65:E85)</f>
        <v>-0.9907816103692999</v>
      </c>
      <c r="P75" s="67" t="s">
        <v>337</v>
      </c>
      <c r="Q75" s="67">
        <f ca="1">[1]!DAGOSTINO(E65:E85)</f>
        <v>4.6069003420561714</v>
      </c>
      <c r="S75" t="s">
        <v>356</v>
      </c>
      <c r="T75">
        <f ca="1">_xlfn.T.DIST.RT(ABS(X71),Y71)</f>
        <v>2.4971884136674119E-5</v>
      </c>
      <c r="U75">
        <f ca="1">_xlfn.T.INV.2T(W67*2,Y71)</f>
        <v>1.7247182429207868</v>
      </c>
      <c r="X75" s="70" t="str">
        <f ca="1">IF(T75&lt;W67,"yes","no")</f>
        <v>yes</v>
      </c>
    </row>
    <row r="76" spans="3:31" x14ac:dyDescent="0.3">
      <c r="C76" s="2" t="s">
        <v>296</v>
      </c>
      <c r="D76" s="37" cm="1">
        <f t="array" aca="1" ref="D76" ca="1">INDIRECT("'" &amp; C76 &amp; "'!$E$78")</f>
        <v>5</v>
      </c>
      <c r="E76" s="37" cm="1">
        <f t="array" aca="1" ref="E76" ca="1">INDIRECT("'" &amp; C76 &amp; "'!$F$78")</f>
        <v>6</v>
      </c>
      <c r="G76" t="s">
        <v>309</v>
      </c>
      <c r="H76">
        <f ca="1">H77-H78</f>
        <v>6</v>
      </c>
      <c r="J76" t="s">
        <v>333</v>
      </c>
      <c r="K76">
        <f ca="1">[1]!DPTEST(D65:D85)</f>
        <v>0.27323355876587874</v>
      </c>
      <c r="M76" t="s">
        <v>309</v>
      </c>
      <c r="N76">
        <f ca="1">N77-N78</f>
        <v>6</v>
      </c>
      <c r="P76" t="s">
        <v>333</v>
      </c>
      <c r="Q76">
        <f ca="1">[1]!DPTEST(E65:E85)</f>
        <v>9.9913529603808726E-2</v>
      </c>
      <c r="S76" t="s">
        <v>357</v>
      </c>
      <c r="T76">
        <f ca="1">_xlfn.T.DIST.2T(ABS(X71),Y71)</f>
        <v>4.9943768273348239E-5</v>
      </c>
      <c r="U76">
        <f ca="1">_xlfn.T.INV.2T(W67,Y71)</f>
        <v>2.0859634472658648</v>
      </c>
      <c r="V76">
        <f ca="1">(U69-U70)-W71*U76</f>
        <v>-2.9456696900722403</v>
      </c>
      <c r="W76">
        <f ca="1">(U69-U70)+W71*U76</f>
        <v>-1.2448065004039504</v>
      </c>
      <c r="X76" s="70" t="str">
        <f ca="1">IF(T76&lt;W67,"yes","no")</f>
        <v>yes</v>
      </c>
      <c r="AD76" s="70" t="s">
        <v>365</v>
      </c>
      <c r="AE76" s="70" t="s">
        <v>366</v>
      </c>
    </row>
    <row r="77" spans="3:31" x14ac:dyDescent="0.3">
      <c r="C77" s="2" t="s">
        <v>297</v>
      </c>
      <c r="D77" s="37" cm="1">
        <f t="array" aca="1" ref="D77" ca="1">INDIRECT("'" &amp; C77 &amp; "'!$E$78")</f>
        <v>3</v>
      </c>
      <c r="E77" s="37" cm="1">
        <f t="array" aca="1" ref="E77" ca="1">INDIRECT("'" &amp; C77 &amp; "'!$F$78")</f>
        <v>5</v>
      </c>
      <c r="G77" t="s">
        <v>310</v>
      </c>
      <c r="H77" s="65">
        <f ca="1">MAX(D65:D85)</f>
        <v>7</v>
      </c>
      <c r="J77" t="s">
        <v>334</v>
      </c>
      <c r="K77">
        <v>0.05</v>
      </c>
      <c r="M77" t="s">
        <v>310</v>
      </c>
      <c r="N77" s="65">
        <f ca="1">MAX(E65:E85)</f>
        <v>7</v>
      </c>
      <c r="P77" t="s">
        <v>334</v>
      </c>
      <c r="Q77">
        <v>0.05</v>
      </c>
      <c r="S77" s="67"/>
      <c r="T77" s="67"/>
      <c r="U77" s="67"/>
      <c r="V77" s="67"/>
      <c r="W77" s="67"/>
      <c r="X77" s="67"/>
      <c r="AC77" t="s">
        <v>367</v>
      </c>
      <c r="AD77" s="73">
        <f ca="1">AD71*(AD71+1)/4</f>
        <v>76.5</v>
      </c>
    </row>
    <row r="78" spans="3:31" x14ac:dyDescent="0.3">
      <c r="C78" s="2" t="s">
        <v>298</v>
      </c>
      <c r="D78" s="37" cm="1">
        <f t="array" aca="1" ref="D78" ca="1">INDIRECT("'" &amp; C78 &amp; "'!$E$78")</f>
        <v>1</v>
      </c>
      <c r="E78" s="37" cm="1">
        <f t="array" aca="1" ref="E78" ca="1">INDIRECT("'" &amp; C78 &amp; "'!$F$78")</f>
        <v>1</v>
      </c>
      <c r="G78" t="s">
        <v>311</v>
      </c>
      <c r="H78" s="65">
        <f ca="1">MIN(D65:D85)</f>
        <v>1</v>
      </c>
      <c r="J78" s="63" t="s">
        <v>335</v>
      </c>
      <c r="K78" s="66" t="str">
        <f ca="1">IF(K76&lt;K77,"no","yes")</f>
        <v>yes</v>
      </c>
      <c r="M78" t="s">
        <v>311</v>
      </c>
      <c r="N78" s="65">
        <f ca="1">MIN(E65:E85)</f>
        <v>1</v>
      </c>
      <c r="P78" s="63" t="s">
        <v>335</v>
      </c>
      <c r="Q78" s="66" t="str">
        <f ca="1">IF(Q76&lt;Q77,"no","yes")</f>
        <v>yes</v>
      </c>
      <c r="AC78" t="s">
        <v>368</v>
      </c>
      <c r="AD78" s="74">
        <f ca="1">SQRT(AD77*(2*AD71+1)/6-[1]!TiesCorrection(D65:D85,E65:E85,1)/48)</f>
        <v>21.008926674154488</v>
      </c>
      <c r="AE78" t="s">
        <v>369</v>
      </c>
    </row>
    <row r="79" spans="3:31" x14ac:dyDescent="0.3">
      <c r="C79" s="2" t="s">
        <v>299</v>
      </c>
      <c r="D79" s="37" cm="1">
        <f t="array" aca="1" ref="D79" ca="1">INDIRECT("'" &amp; C79 &amp; "'!$E$78")</f>
        <v>3</v>
      </c>
      <c r="E79" s="37" cm="1">
        <f t="array" aca="1" ref="E79" ca="1">INDIRECT("'" &amp; C79 &amp; "'!$F$78")</f>
        <v>4</v>
      </c>
      <c r="G79" t="s">
        <v>312</v>
      </c>
      <c r="H79" s="65">
        <f ca="1">SUM(D65:D85)</f>
        <v>61</v>
      </c>
      <c r="M79" t="s">
        <v>312</v>
      </c>
      <c r="N79" s="65">
        <f ca="1">SUM(E65:E85)</f>
        <v>105</v>
      </c>
      <c r="AC79" t="s">
        <v>370</v>
      </c>
      <c r="AD79" s="74">
        <f ca="1">ABS(ABS(AD74-AD77)-1/2)/AD78</f>
        <v>3.4747134459660782</v>
      </c>
      <c r="AE79" t="s">
        <v>371</v>
      </c>
    </row>
    <row r="80" spans="3:31" x14ac:dyDescent="0.3">
      <c r="C80" s="2" t="s">
        <v>395</v>
      </c>
      <c r="D80" s="37" cm="1">
        <f t="array" aca="1" ref="D80" ca="1">INDIRECT("'" &amp; C80 &amp; "'!$E$78")</f>
        <v>5</v>
      </c>
      <c r="E80" s="37" cm="1">
        <f t="array" aca="1" ref="E80" ca="1">INDIRECT("'" &amp; C80 &amp; "'!$F$78")</f>
        <v>5</v>
      </c>
      <c r="G80" t="s">
        <v>313</v>
      </c>
      <c r="H80">
        <f ca="1">COUNT(D65:D85)</f>
        <v>21</v>
      </c>
      <c r="M80" t="s">
        <v>313</v>
      </c>
      <c r="N80">
        <f ca="1">COUNT(E65:E85)</f>
        <v>21</v>
      </c>
      <c r="AC80" t="s">
        <v>372</v>
      </c>
      <c r="AD80" s="74">
        <f ca="1">AD79/SQRT(AD71)</f>
        <v>0.84274179743953315</v>
      </c>
    </row>
    <row r="81" spans="3:31" x14ac:dyDescent="0.3">
      <c r="C81" s="2" t="s">
        <v>396</v>
      </c>
      <c r="D81" s="37" cm="1">
        <f t="array" aca="1" ref="D81" ca="1">INDIRECT("'" &amp; C81 &amp; "'!$E$78")</f>
        <v>1</v>
      </c>
      <c r="E81" s="37" cm="1">
        <f t="array" aca="1" ref="E81" ca="1">INDIRECT("'" &amp; C81 &amp; "'!$F$78")</f>
        <v>5</v>
      </c>
      <c r="G81" t="s">
        <v>314</v>
      </c>
      <c r="H81">
        <f ca="1">GEOMEAN(D65:D85)</f>
        <v>2.394391413156419</v>
      </c>
      <c r="M81" t="s">
        <v>314</v>
      </c>
      <c r="N81">
        <f ca="1">GEOMEAN(E65:E85)</f>
        <v>4.5864134100227263</v>
      </c>
      <c r="AC81" t="s">
        <v>373</v>
      </c>
      <c r="AD81" s="73">
        <f ca="1">1-_xlfn.NORM.S.DIST(AD79,TRUE)</f>
        <v>2.5569966392202659E-4</v>
      </c>
      <c r="AE81" s="76">
        <f ca="1">2*AD81</f>
        <v>5.1139932784405318E-4</v>
      </c>
    </row>
    <row r="82" spans="3:31" x14ac:dyDescent="0.3">
      <c r="C82" s="2" t="s">
        <v>397</v>
      </c>
      <c r="D82" s="37" cm="1">
        <f t="array" aca="1" ref="D82" ca="1">INDIRECT("'" &amp; C82 &amp; "'!$E$78")</f>
        <v>5</v>
      </c>
      <c r="E82" s="37" cm="1">
        <f t="array" aca="1" ref="E82" ca="1">INDIRECT("'" &amp; C82 &amp; "'!$F$78")</f>
        <v>7</v>
      </c>
      <c r="G82" t="s">
        <v>315</v>
      </c>
      <c r="H82">
        <f ca="1">HARMEAN(D65:D85)</f>
        <v>1.9547872340425532</v>
      </c>
      <c r="M82" t="s">
        <v>315</v>
      </c>
      <c r="N82">
        <f ca="1">HARMEAN(E65:E85)</f>
        <v>3.9339875111507583</v>
      </c>
      <c r="AC82" t="s">
        <v>374</v>
      </c>
      <c r="AD82" s="74">
        <f ca="1">[1]!SRDIST(AD74,AD71,1)</f>
        <v>3.814697265625E-5</v>
      </c>
      <c r="AE82" s="77">
        <f ca="1">2*AD82</f>
        <v>7.62939453125E-5</v>
      </c>
    </row>
    <row r="83" spans="3:31" x14ac:dyDescent="0.3">
      <c r="C83" s="2" t="s">
        <v>398</v>
      </c>
      <c r="D83" s="37" cm="1">
        <f t="array" aca="1" ref="D83" ca="1">INDIRECT("'" &amp; C83 &amp; "'!$E$78")</f>
        <v>3</v>
      </c>
      <c r="E83" s="37" cm="1">
        <f t="array" aca="1" ref="E83" ca="1">INDIRECT("'" &amp; C83 &amp; "'!$F$78")</f>
        <v>2</v>
      </c>
      <c r="G83" t="s">
        <v>316</v>
      </c>
      <c r="H83">
        <f ca="1">AVEDEV(D65:D85)</f>
        <v>1.346938775510204</v>
      </c>
      <c r="M83" t="s">
        <v>316</v>
      </c>
      <c r="N83">
        <f ca="1">AVEDEV(E65:E85)</f>
        <v>1.1428571428571428</v>
      </c>
      <c r="AC83" t="s">
        <v>375</v>
      </c>
      <c r="AD83" s="75" t="s">
        <v>376</v>
      </c>
      <c r="AE83" s="78" t="s">
        <v>376</v>
      </c>
    </row>
    <row r="84" spans="3:31" x14ac:dyDescent="0.3">
      <c r="C84" s="2" t="s">
        <v>399</v>
      </c>
      <c r="D84" s="37" cm="1">
        <f t="array" aca="1" ref="D84" ca="1">INDIRECT("'" &amp; C84 &amp; "'!$E$78")</f>
        <v>6</v>
      </c>
      <c r="E84" s="37" cm="1">
        <f t="array" aca="1" ref="E84" ca="1">INDIRECT("'" &amp; C84 &amp; "'!$F$78")</f>
        <v>7</v>
      </c>
      <c r="G84" t="s">
        <v>317</v>
      </c>
      <c r="H84">
        <f ca="1">[1]!MAD(D65:D85)</f>
        <v>2</v>
      </c>
      <c r="M84" t="s">
        <v>317</v>
      </c>
      <c r="N84">
        <f ca="1">[1]!MAD(E65:E85)</f>
        <v>1</v>
      </c>
    </row>
    <row r="85" spans="3:31" x14ac:dyDescent="0.3">
      <c r="C85" s="2" t="s">
        <v>400</v>
      </c>
      <c r="D85" s="37" cm="1">
        <f t="array" aca="1" ref="D85" ca="1">INDIRECT("'" &amp; C85 &amp; "'!$E$78")</f>
        <v>3</v>
      </c>
      <c r="E85" s="37" cm="1">
        <f t="array" aca="1" ref="E85" ca="1">INDIRECT("'" &amp; C85 &amp; "'!$F$78")</f>
        <v>4</v>
      </c>
      <c r="G85" s="63" t="s">
        <v>318</v>
      </c>
      <c r="H85" s="63">
        <f ca="1">[1]!IQR(D65:D85,FALSE)</f>
        <v>2</v>
      </c>
      <c r="M85" s="63" t="s">
        <v>318</v>
      </c>
      <c r="N85" s="63">
        <f ca="1">[1]!IQR(E65:E85,FALSE)</f>
        <v>1</v>
      </c>
    </row>
    <row r="90" spans="3:31" x14ac:dyDescent="0.3">
      <c r="C90" s="2"/>
      <c r="D90" s="59" t="s">
        <v>115</v>
      </c>
      <c r="E90" s="2"/>
    </row>
    <row r="91" spans="3:31" x14ac:dyDescent="0.3">
      <c r="C91" s="2"/>
      <c r="D91" s="2"/>
      <c r="E91" s="2"/>
    </row>
    <row r="92" spans="3:31" x14ac:dyDescent="0.3">
      <c r="C92" s="2" t="s">
        <v>285</v>
      </c>
      <c r="D92" s="37" cm="1">
        <f t="array" aca="1" ref="D92" ca="1">INDIRECT("'" &amp; C92 &amp; "'!$E$78")</f>
        <v>2</v>
      </c>
      <c r="E92" s="37" cm="1">
        <f t="array" aca="1" ref="E92" ca="1">INDIRECT("'" &amp; C92 &amp; "'!$F$78")</f>
        <v>5</v>
      </c>
      <c r="G92" t="s">
        <v>300</v>
      </c>
      <c r="J92" t="s">
        <v>331</v>
      </c>
      <c r="M92" t="s">
        <v>300</v>
      </c>
      <c r="P92" t="s">
        <v>331</v>
      </c>
      <c r="S92" t="s">
        <v>338</v>
      </c>
      <c r="AC92" t="s">
        <v>358</v>
      </c>
    </row>
    <row r="93" spans="3:31" x14ac:dyDescent="0.3">
      <c r="C93" s="2" t="s">
        <v>286</v>
      </c>
      <c r="D93" s="37" cm="1">
        <f t="array" aca="1" ref="D93" ca="1">INDIRECT("'" &amp; C93 &amp; "'!$E$78")</f>
        <v>3</v>
      </c>
      <c r="E93" s="37" cm="1">
        <f t="array" aca="1" ref="E93" ca="1">INDIRECT("'" &amp; C93 &amp; "'!$F$78")</f>
        <v>5</v>
      </c>
    </row>
    <row r="94" spans="3:31" ht="15" thickBot="1" x14ac:dyDescent="0.35">
      <c r="C94" s="2" t="s">
        <v>287</v>
      </c>
      <c r="D94" s="37" cm="1">
        <f t="array" aca="1" ref="D94" ca="1">INDIRECT("'" &amp; C94 &amp; "'!$E$78")</f>
        <v>3</v>
      </c>
      <c r="E94" s="37" cm="1">
        <f t="array" aca="1" ref="E94" ca="1">INDIRECT("'" &amp; C94 &amp; "'!$F$78")</f>
        <v>6</v>
      </c>
      <c r="G94" s="64"/>
      <c r="H94" s="64" t="s">
        <v>379</v>
      </c>
      <c r="J94" s="64"/>
      <c r="K94" s="64" t="s">
        <v>379</v>
      </c>
      <c r="M94" s="64"/>
      <c r="N94" s="64" t="s">
        <v>379</v>
      </c>
      <c r="P94" s="64"/>
      <c r="Q94" s="64" t="s">
        <v>379</v>
      </c>
      <c r="S94" t="s">
        <v>339</v>
      </c>
      <c r="V94" t="s">
        <v>340</v>
      </c>
      <c r="W94">
        <v>0.05</v>
      </c>
      <c r="Y94" t="s">
        <v>341</v>
      </c>
      <c r="Z94">
        <v>0</v>
      </c>
      <c r="AD94" s="65">
        <f ca="1">D92</f>
        <v>2</v>
      </c>
      <c r="AE94" s="65">
        <f ca="1">E92</f>
        <v>5</v>
      </c>
    </row>
    <row r="95" spans="3:31" ht="15" thickTop="1" x14ac:dyDescent="0.3">
      <c r="C95" s="2" t="s">
        <v>288</v>
      </c>
      <c r="D95" s="37" cm="1">
        <f t="array" aca="1" ref="D95" ca="1">INDIRECT("'" &amp; C95 &amp; "'!$E$78")</f>
        <v>1</v>
      </c>
      <c r="E95" s="37" cm="1">
        <f t="array" aca="1" ref="E95" ca="1">INDIRECT("'" &amp; C95 &amp; "'!$F$78")</f>
        <v>6</v>
      </c>
      <c r="G95" t="s">
        <v>301</v>
      </c>
      <c r="H95" s="65">
        <f ca="1">AVERAGE(D92:D112)</f>
        <v>2.9047619047619047</v>
      </c>
      <c r="J95" t="s">
        <v>332</v>
      </c>
      <c r="K95">
        <f ca="1">[1]!SHAPIRO(D92:D112)</f>
        <v>0.87440185471664433</v>
      </c>
      <c r="M95" t="s">
        <v>301</v>
      </c>
      <c r="N95" s="65">
        <f ca="1">AVERAGE(E92:E112)</f>
        <v>5</v>
      </c>
      <c r="P95" t="s">
        <v>332</v>
      </c>
      <c r="Q95">
        <f ca="1">[1]!SHAPIRO(E92:E112)</f>
        <v>0.86966674904881547</v>
      </c>
      <c r="S95" s="68" t="s">
        <v>342</v>
      </c>
      <c r="T95" s="68" t="s">
        <v>313</v>
      </c>
      <c r="U95" s="68" t="s">
        <v>301</v>
      </c>
      <c r="V95" s="68" t="s">
        <v>343</v>
      </c>
      <c r="W95" s="68" t="s">
        <v>344</v>
      </c>
      <c r="X95" s="68" t="s">
        <v>345</v>
      </c>
      <c r="Y95" s="68" t="s">
        <v>346</v>
      </c>
      <c r="Z95" s="68" t="s">
        <v>347</v>
      </c>
      <c r="AA95" s="68" t="s">
        <v>348</v>
      </c>
      <c r="AC95" t="s">
        <v>359</v>
      </c>
      <c r="AD95" s="71">
        <f ca="1">MEDIAN(D93:D112)</f>
        <v>3</v>
      </c>
      <c r="AE95" s="72">
        <f ca="1">MEDIAN(E93:E112)</f>
        <v>5</v>
      </c>
    </row>
    <row r="96" spans="3:31" x14ac:dyDescent="0.3">
      <c r="C96" s="2" t="s">
        <v>289</v>
      </c>
      <c r="D96" s="37" cm="1">
        <f t="array" aca="1" ref="D96" ca="1">INDIRECT("'" &amp; C96 &amp; "'!$E$78")</f>
        <v>1</v>
      </c>
      <c r="E96" s="37" cm="1">
        <f t="array" aca="1" ref="E96" ca="1">INDIRECT("'" &amp; C96 &amp; "'!$F$78")</f>
        <v>5</v>
      </c>
      <c r="G96" t="s">
        <v>302</v>
      </c>
      <c r="H96">
        <f ca="1">_xlfn.STDEV.S(D92:D112)/SQRT(COUNT(D92:D112))</f>
        <v>0.3897787034224976</v>
      </c>
      <c r="J96" t="s">
        <v>333</v>
      </c>
      <c r="K96">
        <f ca="1">[1]!SWTEST(D92:D112)</f>
        <v>1.1519811817579773E-2</v>
      </c>
      <c r="M96" t="s">
        <v>302</v>
      </c>
      <c r="N96">
        <f ca="1">_xlfn.STDEV.S(E92:E112)/SQRT(COUNT(E92:E112))</f>
        <v>0.36514837167011077</v>
      </c>
      <c r="P96" t="s">
        <v>333</v>
      </c>
      <c r="Q96">
        <f ca="1">[1]!SWTEST(E92:E112)</f>
        <v>9.4475764603648704E-3</v>
      </c>
      <c r="S96" s="65">
        <f ca="1">D92</f>
        <v>2</v>
      </c>
      <c r="T96">
        <f ca="1">COUNT(D93:D112)</f>
        <v>20</v>
      </c>
      <c r="U96" s="65">
        <f ca="1">AVERAGE(D93:D112)</f>
        <v>2.95</v>
      </c>
      <c r="V96">
        <f ca="1">_xlfn.STDEV.S(D93:D112)</f>
        <v>1.8202082009311027</v>
      </c>
    </row>
    <row r="97" spans="3:31" x14ac:dyDescent="0.3">
      <c r="C97" s="2" t="s">
        <v>290</v>
      </c>
      <c r="D97" s="37" cm="1">
        <f t="array" aca="1" ref="D97" ca="1">INDIRECT("'" &amp; C97 &amp; "'!$E$78")</f>
        <v>3</v>
      </c>
      <c r="E97" s="37" cm="1">
        <f t="array" aca="1" ref="E97" ca="1">INDIRECT("'" &amp; C97 &amp; "'!$F$78")</f>
        <v>5</v>
      </c>
      <c r="G97" t="s">
        <v>303</v>
      </c>
      <c r="H97" s="65">
        <f ca="1">MEDIAN(D92:D112)</f>
        <v>3</v>
      </c>
      <c r="J97" t="s">
        <v>334</v>
      </c>
      <c r="K97">
        <v>0.05</v>
      </c>
      <c r="M97" t="s">
        <v>303</v>
      </c>
      <c r="N97" s="65">
        <f ca="1">MEDIAN(E92:E112)</f>
        <v>5</v>
      </c>
      <c r="P97" t="s">
        <v>334</v>
      </c>
      <c r="Q97">
        <v>0.05</v>
      </c>
      <c r="S97" s="65">
        <f ca="1">E92</f>
        <v>5</v>
      </c>
      <c r="T97">
        <f ca="1">COUNT(E93:E112)</f>
        <v>20</v>
      </c>
      <c r="U97" s="65">
        <f ca="1">AVERAGE(E93:E112)</f>
        <v>5</v>
      </c>
      <c r="V97">
        <f ca="1">_xlfn.STDEV.S(E93:E112)</f>
        <v>1.7167901505579042</v>
      </c>
      <c r="AC97" t="s">
        <v>360</v>
      </c>
      <c r="AD97" s="73">
        <f ca="1">SUMPRODUCT(--ISNUMBER(D93:D112),--ISNUMBER(E93:E112))</f>
        <v>20</v>
      </c>
    </row>
    <row r="98" spans="3:31" x14ac:dyDescent="0.3">
      <c r="C98" s="2" t="s">
        <v>291</v>
      </c>
      <c r="D98" s="37" cm="1">
        <f t="array" aca="1" ref="D98" ca="1">INDIRECT("'" &amp; C98 &amp; "'!$E$78")</f>
        <v>2</v>
      </c>
      <c r="E98" s="37" cm="1">
        <f t="array" aca="1" ref="E98" ca="1">INDIRECT("'" &amp; C98 &amp; "'!$F$78")</f>
        <v>2</v>
      </c>
      <c r="G98" t="s">
        <v>304</v>
      </c>
      <c r="H98">
        <f ca="1">MODE(D92:D112)</f>
        <v>3</v>
      </c>
      <c r="J98" s="63" t="s">
        <v>335</v>
      </c>
      <c r="K98" s="66" t="str">
        <f ca="1">IF(K96&lt;K97,"no","yes")</f>
        <v>no</v>
      </c>
      <c r="M98" t="s">
        <v>304</v>
      </c>
      <c r="N98">
        <f ca="1">MODE(E92:E112)</f>
        <v>5</v>
      </c>
      <c r="P98" s="63" t="s">
        <v>335</v>
      </c>
      <c r="Q98" s="66" t="str">
        <f ca="1">IF(Q96&lt;Q97,"no","yes")</f>
        <v>no</v>
      </c>
      <c r="S98" s="67" t="s">
        <v>349</v>
      </c>
      <c r="T98" s="67">
        <f ca="1">T97</f>
        <v>20</v>
      </c>
      <c r="U98" s="69">
        <f ca="1">U96-U97</f>
        <v>-2.0499999999999998</v>
      </c>
      <c r="V98" s="67">
        <f t="array" aca="1" ref="V98" ca="1">_xlfn.STDEV.S(D93:D112-E93:E112)</f>
        <v>1.9049796241485244</v>
      </c>
      <c r="W98" s="67">
        <f ca="1">V98/SQRT(T98)</f>
        <v>0.42596639353481003</v>
      </c>
      <c r="X98" s="67">
        <f ca="1">(U96-U97-Z94)/W98</f>
        <v>-4.8125862300742126</v>
      </c>
      <c r="Y98" s="67">
        <f ca="1">T98-1</f>
        <v>19</v>
      </c>
      <c r="Z98" s="67">
        <f ca="1">ABS(U96-U97-Z94)/V98</f>
        <v>1.0761269958025381</v>
      </c>
      <c r="AA98" s="67">
        <f ca="1">SQRT(X98^2/(X98^2+Y98))</f>
        <v>0.74117906421374191</v>
      </c>
      <c r="AC98" t="s">
        <v>361</v>
      </c>
      <c r="AD98" s="74">
        <f ca="1">SUMPRODUCT(--ISNUMBER(D93:D112),--ISNUMBER(E93:E112),--(D93:D112&lt;&gt;E93:E112))</f>
        <v>16</v>
      </c>
    </row>
    <row r="99" spans="3:31" x14ac:dyDescent="0.3">
      <c r="C99" s="2" t="s">
        <v>292</v>
      </c>
      <c r="D99" s="37" cm="1">
        <f t="array" aca="1" ref="D99" ca="1">INDIRECT("'" &amp; C99 &amp; "'!$E$78")</f>
        <v>1</v>
      </c>
      <c r="E99" s="37" cm="1">
        <f t="array" aca="1" ref="E99" ca="1">INDIRECT("'" &amp; C99 &amp; "'!$F$78")</f>
        <v>6</v>
      </c>
      <c r="G99" t="s">
        <v>305</v>
      </c>
      <c r="H99">
        <f ca="1">_xlfn.STDEV.S(D92:D112)</f>
        <v>1.7861904127153381</v>
      </c>
      <c r="M99" t="s">
        <v>305</v>
      </c>
      <c r="N99">
        <f ca="1">_xlfn.STDEV.S(E92:E112)</f>
        <v>1.6733200530681511</v>
      </c>
      <c r="AC99" t="s">
        <v>362</v>
      </c>
      <c r="AD99" s="74">
        <f ca="1">IF(AD101&lt;=AD104,AD101,AD98*(AD98+1)/2)</f>
        <v>3</v>
      </c>
    </row>
    <row r="100" spans="3:31" ht="15" thickBot="1" x14ac:dyDescent="0.35">
      <c r="C100" s="2" t="s">
        <v>293</v>
      </c>
      <c r="D100" s="37" cm="1">
        <f t="array" aca="1" ref="D100" ca="1">INDIRECT("'" &amp; C100 &amp; "'!$E$78")</f>
        <v>1</v>
      </c>
      <c r="E100" s="37" cm="1">
        <f t="array" aca="1" ref="E100" ca="1">INDIRECT("'" &amp; C100 &amp; "'!$F$78")</f>
        <v>5</v>
      </c>
      <c r="G100" t="s">
        <v>306</v>
      </c>
      <c r="H100">
        <f ca="1">_xlfn.VAR.S(D92:D112)</f>
        <v>3.1904761904761898</v>
      </c>
      <c r="J100" t="s">
        <v>336</v>
      </c>
      <c r="M100" t="s">
        <v>306</v>
      </c>
      <c r="N100">
        <f ca="1">_xlfn.VAR.S(E92:E112)</f>
        <v>2.8</v>
      </c>
      <c r="P100" t="s">
        <v>336</v>
      </c>
      <c r="S100" t="s">
        <v>350</v>
      </c>
      <c r="AC100" t="s">
        <v>363</v>
      </c>
      <c r="AD100" s="74">
        <f ca="1">AD98*(AD98+1)/2-AD99</f>
        <v>133</v>
      </c>
    </row>
    <row r="101" spans="3:31" ht="15" thickTop="1" x14ac:dyDescent="0.3">
      <c r="C101" s="2" t="s">
        <v>294</v>
      </c>
      <c r="D101" s="37" cm="1">
        <f t="array" aca="1" ref="D101" ca="1">INDIRECT("'" &amp; C101 &amp; "'!$E$78")</f>
        <v>2</v>
      </c>
      <c r="E101" s="37" cm="1">
        <f t="array" aca="1" ref="E101" ca="1">INDIRECT("'" &amp; C101 &amp; "'!$F$78")</f>
        <v>7</v>
      </c>
      <c r="G101" t="s">
        <v>307</v>
      </c>
      <c r="H101">
        <f ca="1">KURT(D92:D112)</f>
        <v>-0.11232369183149293</v>
      </c>
      <c r="M101" t="s">
        <v>307</v>
      </c>
      <c r="N101">
        <f ca="1">KURT(E92:E112)</f>
        <v>0.69548872180451093</v>
      </c>
      <c r="S101" s="68" t="s">
        <v>351</v>
      </c>
      <c r="T101" s="68" t="s">
        <v>333</v>
      </c>
      <c r="U101" s="68" t="s">
        <v>352</v>
      </c>
      <c r="V101" s="68" t="s">
        <v>353</v>
      </c>
      <c r="W101" s="68" t="s">
        <v>354</v>
      </c>
      <c r="X101" s="68" t="s">
        <v>355</v>
      </c>
      <c r="AC101" t="s">
        <v>364</v>
      </c>
      <c r="AD101" s="75">
        <f ca="1">[1]!SRANK(D93:D112,E93:E112)</f>
        <v>3</v>
      </c>
    </row>
    <row r="102" spans="3:31" x14ac:dyDescent="0.3">
      <c r="C102" s="2" t="s">
        <v>295</v>
      </c>
      <c r="D102" s="37" cm="1">
        <f t="array" aca="1" ref="D102" ca="1">INDIRECT("'" &amp; C102 &amp; "'!$E$78")</f>
        <v>7</v>
      </c>
      <c r="E102" s="37" cm="1">
        <f t="array" aca="1" ref="E102" ca="1">INDIRECT("'" &amp; C102 &amp; "'!$F$78")</f>
        <v>7</v>
      </c>
      <c r="G102" t="s">
        <v>308</v>
      </c>
      <c r="H102">
        <f ca="1">SKEW(D92:D112)</f>
        <v>0.79760037498108038</v>
      </c>
      <c r="J102" s="67" t="s">
        <v>337</v>
      </c>
      <c r="K102" s="67">
        <f ca="1">[1]!DAGOSTINO(D92:D112)</f>
        <v>2.5948566458730755</v>
      </c>
      <c r="M102" t="s">
        <v>308</v>
      </c>
      <c r="N102">
        <f ca="1">SKEW(E92:E112)</f>
        <v>-0.9907816103692999</v>
      </c>
      <c r="P102" s="67" t="s">
        <v>337</v>
      </c>
      <c r="Q102" s="67">
        <f ca="1">[1]!DAGOSTINO(E92:E112)</f>
        <v>4.6069003420561714</v>
      </c>
      <c r="S102" t="s">
        <v>356</v>
      </c>
      <c r="T102">
        <f ca="1">_xlfn.T.DIST.RT(ABS(X98),Y98)</f>
        <v>6.0496287492921062E-5</v>
      </c>
      <c r="U102">
        <f ca="1">_xlfn.T.INV.2T(W94*2,Y98)</f>
        <v>1.7291328115213698</v>
      </c>
      <c r="X102" s="70" t="str">
        <f ca="1">IF(T102&lt;W94,"yes","no")</f>
        <v>yes</v>
      </c>
    </row>
    <row r="103" spans="3:31" x14ac:dyDescent="0.3">
      <c r="C103" s="2" t="s">
        <v>296</v>
      </c>
      <c r="D103" s="37" cm="1">
        <f t="array" aca="1" ref="D103" ca="1">INDIRECT("'" &amp; C103 &amp; "'!$E$78")</f>
        <v>5</v>
      </c>
      <c r="E103" s="37" cm="1">
        <f t="array" aca="1" ref="E103" ca="1">INDIRECT("'" &amp; C103 &amp; "'!$F$78")</f>
        <v>6</v>
      </c>
      <c r="G103" t="s">
        <v>309</v>
      </c>
      <c r="H103">
        <f ca="1">H104-H105</f>
        <v>6</v>
      </c>
      <c r="J103" t="s">
        <v>333</v>
      </c>
      <c r="K103">
        <f ca="1">[1]!DPTEST(D92:D112)</f>
        <v>0.27323355876587874</v>
      </c>
      <c r="M103" t="s">
        <v>309</v>
      </c>
      <c r="N103">
        <f ca="1">N104-N105</f>
        <v>6</v>
      </c>
      <c r="P103" t="s">
        <v>333</v>
      </c>
      <c r="Q103">
        <f ca="1">[1]!DPTEST(E92:E112)</f>
        <v>9.9913529603808726E-2</v>
      </c>
      <c r="S103" t="s">
        <v>357</v>
      </c>
      <c r="T103">
        <f ca="1">_xlfn.T.DIST.2T(ABS(X98),Y98)</f>
        <v>1.2099257498584212E-4</v>
      </c>
      <c r="U103">
        <f ca="1">_xlfn.T.INV.2T(W94,Y98)</f>
        <v>2.0930240544083096</v>
      </c>
      <c r="V103">
        <f ca="1">(U96-U97)-W98*U103</f>
        <v>-2.9415579080379137</v>
      </c>
      <c r="W103">
        <f ca="1">(U96-U97)+W98*U103</f>
        <v>-1.1584420919620861</v>
      </c>
      <c r="X103" s="70" t="str">
        <f ca="1">IF(T103&lt;W94,"yes","no")</f>
        <v>yes</v>
      </c>
      <c r="AD103" s="70" t="s">
        <v>365</v>
      </c>
      <c r="AE103" s="70" t="s">
        <v>366</v>
      </c>
    </row>
    <row r="104" spans="3:31" x14ac:dyDescent="0.3">
      <c r="C104" s="2" t="s">
        <v>297</v>
      </c>
      <c r="D104" s="37" cm="1">
        <f t="array" aca="1" ref="D104" ca="1">INDIRECT("'" &amp; C104 &amp; "'!$E$78")</f>
        <v>3</v>
      </c>
      <c r="E104" s="37" cm="1">
        <f t="array" aca="1" ref="E104" ca="1">INDIRECT("'" &amp; C104 &amp; "'!$F$78")</f>
        <v>5</v>
      </c>
      <c r="G104" t="s">
        <v>310</v>
      </c>
      <c r="H104" s="65">
        <f ca="1">MAX(D92:D112)</f>
        <v>7</v>
      </c>
      <c r="J104" t="s">
        <v>334</v>
      </c>
      <c r="K104">
        <v>0.05</v>
      </c>
      <c r="M104" t="s">
        <v>310</v>
      </c>
      <c r="N104" s="65">
        <f ca="1">MAX(E92:E112)</f>
        <v>7</v>
      </c>
      <c r="P104" t="s">
        <v>334</v>
      </c>
      <c r="Q104">
        <v>0.05</v>
      </c>
      <c r="S104" s="67"/>
      <c r="T104" s="67"/>
      <c r="U104" s="67"/>
      <c r="V104" s="67"/>
      <c r="W104" s="67"/>
      <c r="X104" s="67"/>
      <c r="AC104" t="s">
        <v>367</v>
      </c>
      <c r="AD104" s="73">
        <f ca="1">AD98*(AD98+1)/4</f>
        <v>68</v>
      </c>
    </row>
    <row r="105" spans="3:31" x14ac:dyDescent="0.3">
      <c r="C105" s="2" t="s">
        <v>298</v>
      </c>
      <c r="D105" s="37" cm="1">
        <f t="array" aca="1" ref="D105" ca="1">INDIRECT("'" &amp; C105 &amp; "'!$E$78")</f>
        <v>1</v>
      </c>
      <c r="E105" s="37" cm="1">
        <f t="array" aca="1" ref="E105" ca="1">INDIRECT("'" &amp; C105 &amp; "'!$F$78")</f>
        <v>1</v>
      </c>
      <c r="G105" t="s">
        <v>311</v>
      </c>
      <c r="H105" s="65">
        <f ca="1">MIN(D92:D112)</f>
        <v>1</v>
      </c>
      <c r="J105" s="63" t="s">
        <v>335</v>
      </c>
      <c r="K105" s="66" t="str">
        <f ca="1">IF(K103&lt;K104,"no","yes")</f>
        <v>yes</v>
      </c>
      <c r="M105" t="s">
        <v>311</v>
      </c>
      <c r="N105" s="65">
        <f ca="1">MIN(E92:E112)</f>
        <v>1</v>
      </c>
      <c r="P105" s="63" t="s">
        <v>335</v>
      </c>
      <c r="Q105" s="66" t="str">
        <f ca="1">IF(Q103&lt;Q104,"no","yes")</f>
        <v>yes</v>
      </c>
      <c r="AC105" t="s">
        <v>368</v>
      </c>
      <c r="AD105" s="74">
        <f ca="1">SQRT(AD104*(2*AD98+1)/6-[1]!TiesCorrection(D93:D112,E93:E112,1)/48)</f>
        <v>19.215878850575635</v>
      </c>
      <c r="AE105" t="s">
        <v>369</v>
      </c>
    </row>
    <row r="106" spans="3:31" x14ac:dyDescent="0.3">
      <c r="C106" s="2" t="s">
        <v>299</v>
      </c>
      <c r="D106" s="37" cm="1">
        <f t="array" aca="1" ref="D106" ca="1">INDIRECT("'" &amp; C106 &amp; "'!$E$78")</f>
        <v>3</v>
      </c>
      <c r="E106" s="37" cm="1">
        <f t="array" aca="1" ref="E106" ca="1">INDIRECT("'" &amp; C106 &amp; "'!$F$78")</f>
        <v>4</v>
      </c>
      <c r="G106" t="s">
        <v>312</v>
      </c>
      <c r="H106" s="65">
        <f ca="1">SUM(D92:D112)</f>
        <v>61</v>
      </c>
      <c r="M106" t="s">
        <v>312</v>
      </c>
      <c r="N106" s="65">
        <f ca="1">SUM(E92:E112)</f>
        <v>105</v>
      </c>
      <c r="AC106" t="s">
        <v>370</v>
      </c>
      <c r="AD106" s="74">
        <f ca="1">ABS(ABS(AD101-AD104)-1/2)/AD105</f>
        <v>3.3565990138446269</v>
      </c>
      <c r="AE106" t="s">
        <v>371</v>
      </c>
    </row>
    <row r="107" spans="3:31" x14ac:dyDescent="0.3">
      <c r="C107" s="2" t="s">
        <v>395</v>
      </c>
      <c r="D107" s="37" cm="1">
        <f t="array" aca="1" ref="D107" ca="1">INDIRECT("'" &amp; C107 &amp; "'!$E$78")</f>
        <v>5</v>
      </c>
      <c r="E107" s="37" cm="1">
        <f t="array" aca="1" ref="E107" ca="1">INDIRECT("'" &amp; C107 &amp; "'!$F$78")</f>
        <v>5</v>
      </c>
      <c r="G107" t="s">
        <v>313</v>
      </c>
      <c r="H107">
        <f ca="1">COUNT(D92:D112)</f>
        <v>21</v>
      </c>
      <c r="M107" t="s">
        <v>313</v>
      </c>
      <c r="N107">
        <f ca="1">COUNT(E92:E112)</f>
        <v>21</v>
      </c>
      <c r="AC107" t="s">
        <v>372</v>
      </c>
      <c r="AD107" s="74">
        <f ca="1">AD106/SQRT(AD98)</f>
        <v>0.83914975346115672</v>
      </c>
    </row>
    <row r="108" spans="3:31" x14ac:dyDescent="0.3">
      <c r="C108" s="2" t="s">
        <v>396</v>
      </c>
      <c r="D108" s="37" cm="1">
        <f t="array" aca="1" ref="D108" ca="1">INDIRECT("'" &amp; C108 &amp; "'!$E$78")</f>
        <v>1</v>
      </c>
      <c r="E108" s="37" cm="1">
        <f t="array" aca="1" ref="E108" ca="1">INDIRECT("'" &amp; C108 &amp; "'!$F$78")</f>
        <v>5</v>
      </c>
      <c r="G108" t="s">
        <v>314</v>
      </c>
      <c r="H108">
        <f ca="1">GEOMEAN(D92:D112)</f>
        <v>2.394391413156419</v>
      </c>
      <c r="M108" t="s">
        <v>314</v>
      </c>
      <c r="N108">
        <f ca="1">GEOMEAN(E92:E112)</f>
        <v>4.5864134100227263</v>
      </c>
      <c r="AC108" t="s">
        <v>373</v>
      </c>
      <c r="AD108" s="73">
        <f ca="1">1-_xlfn.NORM.S.DIST(AD106,TRUE)</f>
        <v>3.9453730762883943E-4</v>
      </c>
      <c r="AE108" s="76">
        <f ca="1">2*AD108</f>
        <v>7.8907461525767886E-4</v>
      </c>
    </row>
    <row r="109" spans="3:31" x14ac:dyDescent="0.3">
      <c r="C109" s="2" t="s">
        <v>397</v>
      </c>
      <c r="D109" s="37" cm="1">
        <f t="array" aca="1" ref="D109" ca="1">INDIRECT("'" &amp; C109 &amp; "'!$E$78")</f>
        <v>5</v>
      </c>
      <c r="E109" s="37" cm="1">
        <f t="array" aca="1" ref="E109" ca="1">INDIRECT("'" &amp; C109 &amp; "'!$F$78")</f>
        <v>7</v>
      </c>
      <c r="G109" t="s">
        <v>315</v>
      </c>
      <c r="H109">
        <f ca="1">HARMEAN(D92:D112)</f>
        <v>1.9547872340425532</v>
      </c>
      <c r="M109" t="s">
        <v>315</v>
      </c>
      <c r="N109">
        <f ca="1">HARMEAN(E92:E112)</f>
        <v>3.9339875111507583</v>
      </c>
      <c r="AC109" t="s">
        <v>374</v>
      </c>
      <c r="AD109" s="74">
        <f ca="1">[1]!SRDIST(AD101,AD98,1)</f>
        <v>7.62939453125E-5</v>
      </c>
      <c r="AE109" s="77">
        <f ca="1">2*AD109</f>
        <v>1.52587890625E-4</v>
      </c>
    </row>
    <row r="110" spans="3:31" x14ac:dyDescent="0.3">
      <c r="C110" s="2" t="s">
        <v>398</v>
      </c>
      <c r="D110" s="37" cm="1">
        <f t="array" aca="1" ref="D110" ca="1">INDIRECT("'" &amp; C110 &amp; "'!$E$78")</f>
        <v>3</v>
      </c>
      <c r="E110" s="37" cm="1">
        <f t="array" aca="1" ref="E110" ca="1">INDIRECT("'" &amp; C110 &amp; "'!$F$78")</f>
        <v>2</v>
      </c>
      <c r="G110" t="s">
        <v>316</v>
      </c>
      <c r="H110">
        <f ca="1">AVEDEV(D92:D112)</f>
        <v>1.346938775510204</v>
      </c>
      <c r="M110" t="s">
        <v>316</v>
      </c>
      <c r="N110">
        <f ca="1">AVEDEV(E92:E112)</f>
        <v>1.1428571428571428</v>
      </c>
      <c r="AC110" t="s">
        <v>375</v>
      </c>
      <c r="AD110" s="75" t="s">
        <v>376</v>
      </c>
      <c r="AE110" s="78" t="s">
        <v>376</v>
      </c>
    </row>
    <row r="111" spans="3:31" x14ac:dyDescent="0.3">
      <c r="C111" s="2" t="s">
        <v>399</v>
      </c>
      <c r="D111" s="37" cm="1">
        <f t="array" aca="1" ref="D111" ca="1">INDIRECT("'" &amp; C111 &amp; "'!$E$78")</f>
        <v>6</v>
      </c>
      <c r="E111" s="37" cm="1">
        <f t="array" aca="1" ref="E111" ca="1">INDIRECT("'" &amp; C111 &amp; "'!$F$78")</f>
        <v>7</v>
      </c>
      <c r="G111" t="s">
        <v>317</v>
      </c>
      <c r="H111">
        <f ca="1">[1]!MAD(D92:D112)</f>
        <v>2</v>
      </c>
      <c r="M111" t="s">
        <v>317</v>
      </c>
      <c r="N111">
        <f ca="1">[1]!MAD(E92:E112)</f>
        <v>1</v>
      </c>
    </row>
    <row r="112" spans="3:31" x14ac:dyDescent="0.3">
      <c r="C112" s="2" t="s">
        <v>400</v>
      </c>
      <c r="D112" s="37" cm="1">
        <f t="array" aca="1" ref="D112" ca="1">INDIRECT("'" &amp; C112 &amp; "'!$E$78")</f>
        <v>3</v>
      </c>
      <c r="E112" s="37" cm="1">
        <f t="array" aca="1" ref="E112" ca="1">INDIRECT("'" &amp; C112 &amp; "'!$F$78")</f>
        <v>4</v>
      </c>
      <c r="G112" s="63" t="s">
        <v>318</v>
      </c>
      <c r="H112" s="63">
        <f ca="1">[1]!IQR(D92:D112,FALSE)</f>
        <v>2</v>
      </c>
      <c r="M112" s="63" t="s">
        <v>318</v>
      </c>
      <c r="N112" s="63">
        <f ca="1">[1]!IQR(E92:E112,FALSE)</f>
        <v>1</v>
      </c>
    </row>
    <row r="117" spans="3:31" x14ac:dyDescent="0.3">
      <c r="C117" s="2"/>
      <c r="D117" s="59" t="s">
        <v>117</v>
      </c>
      <c r="E117" s="2"/>
    </row>
    <row r="118" spans="3:31" x14ac:dyDescent="0.3">
      <c r="C118" s="2"/>
      <c r="D118" s="2"/>
      <c r="E118" s="2"/>
    </row>
    <row r="119" spans="3:31" x14ac:dyDescent="0.3">
      <c r="C119" s="2" t="s">
        <v>285</v>
      </c>
      <c r="D119" s="37" cm="1">
        <f t="array" aca="1" ref="D119" ca="1">INDIRECT("'" &amp; C119 &amp; "'!$E$78")</f>
        <v>2</v>
      </c>
      <c r="E119" s="37" cm="1">
        <f t="array" aca="1" ref="E119" ca="1">INDIRECT("'" &amp; C119 &amp; "'!$F$78")</f>
        <v>5</v>
      </c>
      <c r="G119" t="s">
        <v>300</v>
      </c>
      <c r="J119" t="s">
        <v>331</v>
      </c>
      <c r="M119" t="s">
        <v>300</v>
      </c>
      <c r="P119" t="s">
        <v>331</v>
      </c>
      <c r="AC119" t="s">
        <v>358</v>
      </c>
    </row>
    <row r="120" spans="3:31" x14ac:dyDescent="0.3">
      <c r="C120" s="2" t="s">
        <v>286</v>
      </c>
      <c r="D120" s="37" cm="1">
        <f t="array" aca="1" ref="D120" ca="1">INDIRECT("'" &amp; C120 &amp; "'!$E$78")</f>
        <v>3</v>
      </c>
      <c r="E120" s="37" cm="1">
        <f t="array" aca="1" ref="E120" ca="1">INDIRECT("'" &amp; C120 &amp; "'!$F$78")</f>
        <v>5</v>
      </c>
    </row>
    <row r="121" spans="3:31" ht="15" thickBot="1" x14ac:dyDescent="0.35">
      <c r="C121" s="2" t="s">
        <v>287</v>
      </c>
      <c r="D121" s="37" cm="1">
        <f t="array" aca="1" ref="D121" ca="1">INDIRECT("'" &amp; C121 &amp; "'!$E$78")</f>
        <v>3</v>
      </c>
      <c r="E121" s="37" cm="1">
        <f t="array" aca="1" ref="E121" ca="1">INDIRECT("'" &amp; C121 &amp; "'!$F$78")</f>
        <v>6</v>
      </c>
      <c r="G121" s="64"/>
      <c r="H121" s="64" t="s">
        <v>379</v>
      </c>
      <c r="J121" s="64"/>
      <c r="K121" s="64" t="s">
        <v>379</v>
      </c>
      <c r="M121" s="64"/>
      <c r="N121" s="64" t="s">
        <v>379</v>
      </c>
      <c r="P121" s="64"/>
      <c r="Q121" s="64" t="s">
        <v>379</v>
      </c>
      <c r="S121" t="s">
        <v>339</v>
      </c>
      <c r="V121" t="s">
        <v>340</v>
      </c>
      <c r="W121">
        <v>0.05</v>
      </c>
      <c r="Y121" t="s">
        <v>341</v>
      </c>
      <c r="Z121">
        <v>0</v>
      </c>
      <c r="AD121" t="s">
        <v>381</v>
      </c>
      <c r="AE121" t="s">
        <v>382</v>
      </c>
    </row>
    <row r="122" spans="3:31" ht="15" thickTop="1" x14ac:dyDescent="0.3">
      <c r="C122" s="2" t="s">
        <v>288</v>
      </c>
      <c r="D122" s="37" cm="1">
        <f t="array" aca="1" ref="D122" ca="1">INDIRECT("'" &amp; C122 &amp; "'!$E$78")</f>
        <v>1</v>
      </c>
      <c r="E122" s="37" cm="1">
        <f t="array" aca="1" ref="E122" ca="1">INDIRECT("'" &amp; C122 &amp; "'!$F$78")</f>
        <v>6</v>
      </c>
      <c r="G122" t="s">
        <v>301</v>
      </c>
      <c r="H122" s="65">
        <f ca="1">AVERAGE(D119:D139)</f>
        <v>2.9047619047619047</v>
      </c>
      <c r="J122" t="s">
        <v>332</v>
      </c>
      <c r="K122">
        <f ca="1">[1]!SHAPIRO(D119:D139)</f>
        <v>0.87440185471664433</v>
      </c>
      <c r="M122" t="s">
        <v>301</v>
      </c>
      <c r="N122" s="65">
        <f ca="1">AVERAGE(E119:E139)</f>
        <v>5</v>
      </c>
      <c r="P122" t="s">
        <v>332</v>
      </c>
      <c r="Q122">
        <f ca="1">[1]!SHAPIRO(E119:E139)</f>
        <v>0.86966674904881547</v>
      </c>
      <c r="S122" s="68" t="s">
        <v>342</v>
      </c>
      <c r="T122" s="68" t="s">
        <v>313</v>
      </c>
      <c r="U122" s="68" t="s">
        <v>301</v>
      </c>
      <c r="V122" s="68" t="s">
        <v>343</v>
      </c>
      <c r="W122" s="68" t="s">
        <v>344</v>
      </c>
      <c r="X122" s="68" t="s">
        <v>345</v>
      </c>
      <c r="Y122" s="68" t="s">
        <v>346</v>
      </c>
      <c r="Z122" s="68" t="s">
        <v>347</v>
      </c>
      <c r="AA122" s="68" t="s">
        <v>348</v>
      </c>
      <c r="AC122" t="s">
        <v>359</v>
      </c>
      <c r="AD122" s="71">
        <f ca="1">MEDIAN(D119:D139)</f>
        <v>3</v>
      </c>
      <c r="AE122" s="72">
        <f ca="1">MEDIAN(E119:E139)</f>
        <v>5</v>
      </c>
    </row>
    <row r="123" spans="3:31" x14ac:dyDescent="0.3">
      <c r="C123" s="2" t="s">
        <v>289</v>
      </c>
      <c r="D123" s="37" cm="1">
        <f t="array" aca="1" ref="D123" ca="1">INDIRECT("'" &amp; C123 &amp; "'!$E$78")</f>
        <v>1</v>
      </c>
      <c r="E123" s="37" cm="1">
        <f t="array" aca="1" ref="E123" ca="1">INDIRECT("'" &amp; C123 &amp; "'!$F$78")</f>
        <v>5</v>
      </c>
      <c r="G123" t="s">
        <v>302</v>
      </c>
      <c r="H123">
        <f ca="1">_xlfn.STDEV.S(D119:D139)/SQRT(COUNT(D119:D139))</f>
        <v>0.3897787034224976</v>
      </c>
      <c r="J123" t="s">
        <v>333</v>
      </c>
      <c r="K123">
        <f ca="1">[1]!SWTEST(D119:D139)</f>
        <v>1.1519811817579773E-2</v>
      </c>
      <c r="M123" t="s">
        <v>302</v>
      </c>
      <c r="N123">
        <f ca="1">_xlfn.STDEV.S(E119:E139)/SQRT(COUNT(E119:E139))</f>
        <v>0.36514837167011077</v>
      </c>
      <c r="P123" t="s">
        <v>333</v>
      </c>
      <c r="Q123">
        <f ca="1">[1]!SWTEST(E119:E139)</f>
        <v>9.4475764603648704E-3</v>
      </c>
      <c r="S123" t="s">
        <v>379</v>
      </c>
      <c r="T123">
        <f ca="1">COUNT(D119:D139)</f>
        <v>21</v>
      </c>
      <c r="U123" s="65">
        <f ca="1">AVERAGE(D119:D139)</f>
        <v>2.9047619047619047</v>
      </c>
      <c r="V123">
        <f ca="1">_xlfn.STDEV.S(D119:D139)</f>
        <v>1.7861904127153381</v>
      </c>
    </row>
    <row r="124" spans="3:31" x14ac:dyDescent="0.3">
      <c r="C124" s="2" t="s">
        <v>290</v>
      </c>
      <c r="D124" s="37" cm="1">
        <f t="array" aca="1" ref="D124" ca="1">INDIRECT("'" &amp; C124 &amp; "'!$E$78")</f>
        <v>3</v>
      </c>
      <c r="E124" s="37" cm="1">
        <f t="array" aca="1" ref="E124" ca="1">INDIRECT("'" &amp; C124 &amp; "'!$F$78")</f>
        <v>5</v>
      </c>
      <c r="G124" t="s">
        <v>303</v>
      </c>
      <c r="H124" s="65">
        <f ca="1">MEDIAN(D119:D139)</f>
        <v>3</v>
      </c>
      <c r="J124" t="s">
        <v>334</v>
      </c>
      <c r="K124">
        <v>0.05</v>
      </c>
      <c r="M124" t="s">
        <v>303</v>
      </c>
      <c r="N124" s="65">
        <f ca="1">MEDIAN(E119:E139)</f>
        <v>5</v>
      </c>
      <c r="P124" t="s">
        <v>334</v>
      </c>
      <c r="Q124">
        <v>0.05</v>
      </c>
      <c r="S124" t="s">
        <v>380</v>
      </c>
      <c r="T124">
        <f ca="1">COUNT(E119:E139)</f>
        <v>21</v>
      </c>
      <c r="U124" s="65">
        <f ca="1">AVERAGE(E119:E139)</f>
        <v>5</v>
      </c>
      <c r="V124">
        <f ca="1">_xlfn.STDEV.S(E119:E139)</f>
        <v>1.6733200530681511</v>
      </c>
      <c r="AC124" t="s">
        <v>360</v>
      </c>
      <c r="AD124" s="73">
        <f ca="1">SUMPRODUCT(--ISNUMBER(D119:D139),--ISNUMBER(E119:E139))</f>
        <v>21</v>
      </c>
    </row>
    <row r="125" spans="3:31" x14ac:dyDescent="0.3">
      <c r="C125" s="2" t="s">
        <v>291</v>
      </c>
      <c r="D125" s="37" cm="1">
        <f t="array" aca="1" ref="D125" ca="1">INDIRECT("'" &amp; C125 &amp; "'!$E$78")</f>
        <v>2</v>
      </c>
      <c r="E125" s="37" cm="1">
        <f t="array" aca="1" ref="E125" ca="1">INDIRECT("'" &amp; C125 &amp; "'!$F$78")</f>
        <v>2</v>
      </c>
      <c r="G125" t="s">
        <v>304</v>
      </c>
      <c r="H125">
        <f ca="1">MODE(D119:D139)</f>
        <v>3</v>
      </c>
      <c r="J125" s="63" t="s">
        <v>335</v>
      </c>
      <c r="K125" s="66" t="str">
        <f ca="1">IF(K123&lt;K124,"no","yes")</f>
        <v>no</v>
      </c>
      <c r="M125" t="s">
        <v>304</v>
      </c>
      <c r="N125">
        <f ca="1">MODE(E119:E139)</f>
        <v>5</v>
      </c>
      <c r="P125" s="63" t="s">
        <v>335</v>
      </c>
      <c r="Q125" s="66" t="str">
        <f ca="1">IF(Q123&lt;Q124,"no","yes")</f>
        <v>no</v>
      </c>
      <c r="S125" s="67" t="s">
        <v>349</v>
      </c>
      <c r="T125" s="67">
        <f ca="1">T124</f>
        <v>21</v>
      </c>
      <c r="U125" s="69">
        <f ca="1">U123-U124</f>
        <v>-2.0952380952380953</v>
      </c>
      <c r="V125" s="67">
        <f t="array" aca="1" ref="V125" ca="1">_xlfn.STDEV.S(D119:D139-E119:E139)</f>
        <v>1.868281614338746</v>
      </c>
      <c r="W125" s="67">
        <f ca="1">V125/SQRT(T125)</f>
        <v>0.40769247224769511</v>
      </c>
      <c r="X125" s="67">
        <f ca="1">(U123-U124-Z121)/W125</f>
        <v>-5.1392611781291988</v>
      </c>
      <c r="Y125" s="67">
        <f ca="1">T125-1</f>
        <v>20</v>
      </c>
      <c r="Z125" s="67">
        <f ca="1">ABS(U123-U124-Z121)/V125</f>
        <v>1.1214787316630945</v>
      </c>
      <c r="AA125" s="67">
        <f ca="1">SQRT(X125^2/(X125^2+Y125))</f>
        <v>0.75437193314800488</v>
      </c>
      <c r="AC125" t="s">
        <v>361</v>
      </c>
      <c r="AD125" s="74">
        <f ca="1">SUMPRODUCT(--ISNUMBER(D119:D139),--ISNUMBER(E119:E139),--(D119:D139&lt;&gt;E119:E139))</f>
        <v>17</v>
      </c>
    </row>
    <row r="126" spans="3:31" x14ac:dyDescent="0.3">
      <c r="C126" s="2" t="s">
        <v>292</v>
      </c>
      <c r="D126" s="37" cm="1">
        <f t="array" aca="1" ref="D126" ca="1">INDIRECT("'" &amp; C126 &amp; "'!$E$78")</f>
        <v>1</v>
      </c>
      <c r="E126" s="37" cm="1">
        <f t="array" aca="1" ref="E126" ca="1">INDIRECT("'" &amp; C126 &amp; "'!$F$78")</f>
        <v>6</v>
      </c>
      <c r="G126" t="s">
        <v>305</v>
      </c>
      <c r="H126">
        <f ca="1">_xlfn.STDEV.S(D119:D139)</f>
        <v>1.7861904127153381</v>
      </c>
      <c r="M126" t="s">
        <v>305</v>
      </c>
      <c r="N126">
        <f ca="1">_xlfn.STDEV.S(E119:E139)</f>
        <v>1.6733200530681511</v>
      </c>
      <c r="AC126" t="s">
        <v>362</v>
      </c>
      <c r="AD126" s="74">
        <f ca="1">IF(AD128&lt;=AD131,AD128,AD125*(AD125+1)/2)</f>
        <v>3</v>
      </c>
    </row>
    <row r="127" spans="3:31" ht="15" thickBot="1" x14ac:dyDescent="0.35">
      <c r="C127" s="2" t="s">
        <v>293</v>
      </c>
      <c r="D127" s="37" cm="1">
        <f t="array" aca="1" ref="D127" ca="1">INDIRECT("'" &amp; C127 &amp; "'!$E$78")</f>
        <v>1</v>
      </c>
      <c r="E127" s="37" cm="1">
        <f t="array" aca="1" ref="E127" ca="1">INDIRECT("'" &amp; C127 &amp; "'!$F$78")</f>
        <v>5</v>
      </c>
      <c r="G127" t="s">
        <v>306</v>
      </c>
      <c r="H127">
        <f ca="1">_xlfn.VAR.S(D119:D139)</f>
        <v>3.1904761904761898</v>
      </c>
      <c r="J127" t="s">
        <v>336</v>
      </c>
      <c r="M127" t="s">
        <v>306</v>
      </c>
      <c r="N127">
        <f ca="1">_xlfn.VAR.S(E119:E139)</f>
        <v>2.8</v>
      </c>
      <c r="P127" t="s">
        <v>336</v>
      </c>
      <c r="S127" t="s">
        <v>350</v>
      </c>
      <c r="AC127" t="s">
        <v>363</v>
      </c>
      <c r="AD127" s="74">
        <f ca="1">AD125*(AD125+1)/2-AD126</f>
        <v>150</v>
      </c>
    </row>
    <row r="128" spans="3:31" ht="15" thickTop="1" x14ac:dyDescent="0.3">
      <c r="C128" s="2" t="s">
        <v>294</v>
      </c>
      <c r="D128" s="37" cm="1">
        <f t="array" aca="1" ref="D128" ca="1">INDIRECT("'" &amp; C128 &amp; "'!$E$78")</f>
        <v>2</v>
      </c>
      <c r="E128" s="37" cm="1">
        <f t="array" aca="1" ref="E128" ca="1">INDIRECT("'" &amp; C128 &amp; "'!$F$78")</f>
        <v>7</v>
      </c>
      <c r="G128" t="s">
        <v>307</v>
      </c>
      <c r="H128">
        <f ca="1">KURT(D119:D139)</f>
        <v>-0.11232369183149293</v>
      </c>
      <c r="M128" t="s">
        <v>307</v>
      </c>
      <c r="N128">
        <f ca="1">KURT(E119:E139)</f>
        <v>0.69548872180451093</v>
      </c>
      <c r="S128" s="68" t="s">
        <v>351</v>
      </c>
      <c r="T128" s="68" t="s">
        <v>333</v>
      </c>
      <c r="U128" s="68" t="s">
        <v>352</v>
      </c>
      <c r="V128" s="68" t="s">
        <v>353</v>
      </c>
      <c r="W128" s="68" t="s">
        <v>354</v>
      </c>
      <c r="X128" s="68" t="s">
        <v>355</v>
      </c>
      <c r="AC128" t="s">
        <v>364</v>
      </c>
      <c r="AD128" s="75">
        <f ca="1">[1]!SRANK(D119:D139,E119:E139)</f>
        <v>3</v>
      </c>
    </row>
    <row r="129" spans="3:31" x14ac:dyDescent="0.3">
      <c r="C129" s="2" t="s">
        <v>295</v>
      </c>
      <c r="D129" s="37" cm="1">
        <f t="array" aca="1" ref="D129" ca="1">INDIRECT("'" &amp; C129 &amp; "'!$E$78")</f>
        <v>7</v>
      </c>
      <c r="E129" s="37" cm="1">
        <f t="array" aca="1" ref="E129" ca="1">INDIRECT("'" &amp; C129 &amp; "'!$F$78")</f>
        <v>7</v>
      </c>
      <c r="G129" t="s">
        <v>308</v>
      </c>
      <c r="H129">
        <f ca="1">SKEW(D119:D139)</f>
        <v>0.79760037498108038</v>
      </c>
      <c r="J129" s="67" t="s">
        <v>337</v>
      </c>
      <c r="K129" s="67">
        <f ca="1">[1]!DAGOSTINO(D119:D139)</f>
        <v>2.5948566458730755</v>
      </c>
      <c r="M129" t="s">
        <v>308</v>
      </c>
      <c r="N129">
        <f ca="1">SKEW(E119:E139)</f>
        <v>-0.9907816103692999</v>
      </c>
      <c r="P129" s="67" t="s">
        <v>337</v>
      </c>
      <c r="Q129" s="67">
        <f ca="1">[1]!DAGOSTINO(E119:E139)</f>
        <v>4.6069003420561714</v>
      </c>
      <c r="S129" t="s">
        <v>356</v>
      </c>
      <c r="T129">
        <f ca="1">_xlfn.T.DIST.RT(ABS(X125),Y125)</f>
        <v>2.4971884136674119E-5</v>
      </c>
      <c r="U129">
        <f ca="1">_xlfn.T.INV.2T(W121*2,Y125)</f>
        <v>1.7247182429207868</v>
      </c>
      <c r="X129" s="70" t="str">
        <f ca="1">IF(T129&lt;W121,"yes","no")</f>
        <v>yes</v>
      </c>
    </row>
    <row r="130" spans="3:31" x14ac:dyDescent="0.3">
      <c r="C130" s="2" t="s">
        <v>296</v>
      </c>
      <c r="D130" s="37" cm="1">
        <f t="array" aca="1" ref="D130" ca="1">INDIRECT("'" &amp; C130 &amp; "'!$E$78")</f>
        <v>5</v>
      </c>
      <c r="E130" s="37" cm="1">
        <f t="array" aca="1" ref="E130" ca="1">INDIRECT("'" &amp; C130 &amp; "'!$F$78")</f>
        <v>6</v>
      </c>
      <c r="G130" t="s">
        <v>309</v>
      </c>
      <c r="H130">
        <f ca="1">H131-H132</f>
        <v>6</v>
      </c>
      <c r="J130" t="s">
        <v>333</v>
      </c>
      <c r="K130">
        <f ca="1">[1]!DPTEST(D119:D139)</f>
        <v>0.27323355876587874</v>
      </c>
      <c r="M130" t="s">
        <v>309</v>
      </c>
      <c r="N130">
        <f ca="1">N131-N132</f>
        <v>6</v>
      </c>
      <c r="P130" t="s">
        <v>333</v>
      </c>
      <c r="Q130">
        <f ca="1">[1]!DPTEST(E119:E139)</f>
        <v>9.9913529603808726E-2</v>
      </c>
      <c r="S130" t="s">
        <v>357</v>
      </c>
      <c r="T130">
        <f ca="1">_xlfn.T.DIST.2T(ABS(X125),Y125)</f>
        <v>4.9943768273348239E-5</v>
      </c>
      <c r="U130">
        <f ca="1">_xlfn.T.INV.2T(W121,Y125)</f>
        <v>2.0859634472658648</v>
      </c>
      <c r="V130">
        <f ca="1">(U123-U124)-W125*U130</f>
        <v>-2.9456696900722403</v>
      </c>
      <c r="W130">
        <f ca="1">(U123-U124)+W125*U130</f>
        <v>-1.2448065004039504</v>
      </c>
      <c r="X130" s="70" t="str">
        <f ca="1">IF(T130&lt;W121,"yes","no")</f>
        <v>yes</v>
      </c>
      <c r="AD130" s="70" t="s">
        <v>365</v>
      </c>
      <c r="AE130" s="70" t="s">
        <v>366</v>
      </c>
    </row>
    <row r="131" spans="3:31" x14ac:dyDescent="0.3">
      <c r="C131" s="2" t="s">
        <v>297</v>
      </c>
      <c r="D131" s="37" cm="1">
        <f t="array" aca="1" ref="D131" ca="1">INDIRECT("'" &amp; C131 &amp; "'!$E$78")</f>
        <v>3</v>
      </c>
      <c r="E131" s="37" cm="1">
        <f t="array" aca="1" ref="E131" ca="1">INDIRECT("'" &amp; C131 &amp; "'!$F$78")</f>
        <v>5</v>
      </c>
      <c r="G131" t="s">
        <v>310</v>
      </c>
      <c r="H131" s="65">
        <f ca="1">MAX(D119:D139)</f>
        <v>7</v>
      </c>
      <c r="J131" t="s">
        <v>334</v>
      </c>
      <c r="K131">
        <v>0.05</v>
      </c>
      <c r="M131" t="s">
        <v>310</v>
      </c>
      <c r="N131" s="65">
        <f ca="1">MAX(E119:E139)</f>
        <v>7</v>
      </c>
      <c r="P131" t="s">
        <v>334</v>
      </c>
      <c r="Q131">
        <v>0.05</v>
      </c>
      <c r="S131" s="67"/>
      <c r="T131" s="67"/>
      <c r="U131" s="67"/>
      <c r="V131" s="67"/>
      <c r="W131" s="67"/>
      <c r="X131" s="67"/>
      <c r="AC131" t="s">
        <v>367</v>
      </c>
      <c r="AD131" s="73">
        <f ca="1">AD125*(AD125+1)/4</f>
        <v>76.5</v>
      </c>
    </row>
    <row r="132" spans="3:31" x14ac:dyDescent="0.3">
      <c r="C132" s="2" t="s">
        <v>298</v>
      </c>
      <c r="D132" s="37" cm="1">
        <f t="array" aca="1" ref="D132" ca="1">INDIRECT("'" &amp; C132 &amp; "'!$E$78")</f>
        <v>1</v>
      </c>
      <c r="E132" s="37" cm="1">
        <f t="array" aca="1" ref="E132" ca="1">INDIRECT("'" &amp; C132 &amp; "'!$F$78")</f>
        <v>1</v>
      </c>
      <c r="G132" t="s">
        <v>311</v>
      </c>
      <c r="H132" s="65">
        <f ca="1">MIN(D119:D139)</f>
        <v>1</v>
      </c>
      <c r="J132" s="63" t="s">
        <v>335</v>
      </c>
      <c r="K132" s="66" t="str">
        <f ca="1">IF(K130&lt;K131,"no","yes")</f>
        <v>yes</v>
      </c>
      <c r="M132" t="s">
        <v>311</v>
      </c>
      <c r="N132" s="65">
        <f ca="1">MIN(E119:E139)</f>
        <v>1</v>
      </c>
      <c r="P132" s="63" t="s">
        <v>335</v>
      </c>
      <c r="Q132" s="66" t="str">
        <f ca="1">IF(Q130&lt;Q131,"no","yes")</f>
        <v>yes</v>
      </c>
      <c r="AC132" t="s">
        <v>368</v>
      </c>
      <c r="AD132" s="74">
        <f ca="1">SQRT(AD131*(2*AD125+1)/6-[1]!TiesCorrection(D119:D139,E119:E139,1)/48)</f>
        <v>21.008926674154488</v>
      </c>
      <c r="AE132" t="s">
        <v>369</v>
      </c>
    </row>
    <row r="133" spans="3:31" x14ac:dyDescent="0.3">
      <c r="C133" s="2" t="s">
        <v>299</v>
      </c>
      <c r="D133" s="37" cm="1">
        <f t="array" aca="1" ref="D133" ca="1">INDIRECT("'" &amp; C133 &amp; "'!$E$78")</f>
        <v>3</v>
      </c>
      <c r="E133" s="37" cm="1">
        <f t="array" aca="1" ref="E133" ca="1">INDIRECT("'" &amp; C133 &amp; "'!$F$78")</f>
        <v>4</v>
      </c>
      <c r="G133" t="s">
        <v>312</v>
      </c>
      <c r="H133" s="65">
        <f ca="1">SUM(D119:D139)</f>
        <v>61</v>
      </c>
      <c r="M133" t="s">
        <v>312</v>
      </c>
      <c r="N133" s="65">
        <f ca="1">SUM(E119:E139)</f>
        <v>105</v>
      </c>
      <c r="AC133" t="s">
        <v>370</v>
      </c>
      <c r="AD133" s="74">
        <f ca="1">ABS(ABS(AD128-AD131)-1/2)/AD132</f>
        <v>3.4747134459660782</v>
      </c>
      <c r="AE133" t="s">
        <v>371</v>
      </c>
    </row>
    <row r="134" spans="3:31" x14ac:dyDescent="0.3">
      <c r="C134" s="2" t="s">
        <v>395</v>
      </c>
      <c r="D134" s="37" cm="1">
        <f t="array" aca="1" ref="D134" ca="1">INDIRECT("'" &amp; C134 &amp; "'!$E$78")</f>
        <v>5</v>
      </c>
      <c r="E134" s="37" cm="1">
        <f t="array" aca="1" ref="E134" ca="1">INDIRECT("'" &amp; C134 &amp; "'!$F$78")</f>
        <v>5</v>
      </c>
      <c r="G134" t="s">
        <v>313</v>
      </c>
      <c r="H134">
        <f ca="1">COUNT(D119:D139)</f>
        <v>21</v>
      </c>
      <c r="M134" t="s">
        <v>313</v>
      </c>
      <c r="N134">
        <f ca="1">COUNT(E119:E139)</f>
        <v>21</v>
      </c>
      <c r="AC134" t="s">
        <v>372</v>
      </c>
      <c r="AD134" s="74">
        <f ca="1">AD133/SQRT(AD125)</f>
        <v>0.84274179743953315</v>
      </c>
    </row>
    <row r="135" spans="3:31" x14ac:dyDescent="0.3">
      <c r="C135" s="2" t="s">
        <v>396</v>
      </c>
      <c r="D135" s="37" cm="1">
        <f t="array" aca="1" ref="D135" ca="1">INDIRECT("'" &amp; C135 &amp; "'!$E$78")</f>
        <v>1</v>
      </c>
      <c r="E135" s="37" cm="1">
        <f t="array" aca="1" ref="E135" ca="1">INDIRECT("'" &amp; C135 &amp; "'!$F$78")</f>
        <v>5</v>
      </c>
      <c r="G135" t="s">
        <v>314</v>
      </c>
      <c r="H135">
        <f ca="1">GEOMEAN(D119:D139)</f>
        <v>2.394391413156419</v>
      </c>
      <c r="M135" t="s">
        <v>314</v>
      </c>
      <c r="N135">
        <f ca="1">GEOMEAN(E119:E139)</f>
        <v>4.5864134100227263</v>
      </c>
      <c r="AC135" t="s">
        <v>373</v>
      </c>
      <c r="AD135" s="73">
        <f ca="1">1-_xlfn.NORM.S.DIST(AD133,TRUE)</f>
        <v>2.5569966392202659E-4</v>
      </c>
      <c r="AE135" s="76">
        <f ca="1">2*AD135</f>
        <v>5.1139932784405318E-4</v>
      </c>
    </row>
    <row r="136" spans="3:31" x14ac:dyDescent="0.3">
      <c r="C136" s="2" t="s">
        <v>397</v>
      </c>
      <c r="D136" s="37" cm="1">
        <f t="array" aca="1" ref="D136" ca="1">INDIRECT("'" &amp; C136 &amp; "'!$E$78")</f>
        <v>5</v>
      </c>
      <c r="E136" s="37" cm="1">
        <f t="array" aca="1" ref="E136" ca="1">INDIRECT("'" &amp; C136 &amp; "'!$F$78")</f>
        <v>7</v>
      </c>
      <c r="G136" t="s">
        <v>315</v>
      </c>
      <c r="H136">
        <f ca="1">HARMEAN(D119:D139)</f>
        <v>1.9547872340425532</v>
      </c>
      <c r="M136" t="s">
        <v>315</v>
      </c>
      <c r="N136">
        <f ca="1">HARMEAN(E119:E139)</f>
        <v>3.9339875111507583</v>
      </c>
      <c r="AC136" t="s">
        <v>374</v>
      </c>
      <c r="AD136" s="74">
        <f ca="1">[1]!SRDIST(AD128,AD125,1)</f>
        <v>3.814697265625E-5</v>
      </c>
      <c r="AE136" s="77">
        <f ca="1">2*AD136</f>
        <v>7.62939453125E-5</v>
      </c>
    </row>
    <row r="137" spans="3:31" x14ac:dyDescent="0.3">
      <c r="C137" s="2" t="s">
        <v>398</v>
      </c>
      <c r="D137" s="37" cm="1">
        <f t="array" aca="1" ref="D137" ca="1">INDIRECT("'" &amp; C137 &amp; "'!$E$78")</f>
        <v>3</v>
      </c>
      <c r="E137" s="37" cm="1">
        <f t="array" aca="1" ref="E137" ca="1">INDIRECT("'" &amp; C137 &amp; "'!$F$78")</f>
        <v>2</v>
      </c>
      <c r="G137" t="s">
        <v>316</v>
      </c>
      <c r="H137">
        <f ca="1">AVEDEV(D119:D139)</f>
        <v>1.346938775510204</v>
      </c>
      <c r="M137" t="s">
        <v>316</v>
      </c>
      <c r="N137">
        <f ca="1">AVEDEV(E119:E139)</f>
        <v>1.1428571428571428</v>
      </c>
      <c r="AC137" t="s">
        <v>375</v>
      </c>
      <c r="AD137" s="75" t="s">
        <v>376</v>
      </c>
      <c r="AE137" s="78" t="s">
        <v>376</v>
      </c>
    </row>
    <row r="138" spans="3:31" x14ac:dyDescent="0.3">
      <c r="C138" s="2" t="s">
        <v>399</v>
      </c>
      <c r="D138" s="37" cm="1">
        <f t="array" aca="1" ref="D138" ca="1">INDIRECT("'" &amp; C138 &amp; "'!$E$78")</f>
        <v>6</v>
      </c>
      <c r="E138" s="37" cm="1">
        <f t="array" aca="1" ref="E138" ca="1">INDIRECT("'" &amp; C138 &amp; "'!$F$78")</f>
        <v>7</v>
      </c>
      <c r="G138" t="s">
        <v>317</v>
      </c>
      <c r="H138">
        <f ca="1">[1]!MAD(D119:D139)</f>
        <v>2</v>
      </c>
      <c r="M138" t="s">
        <v>317</v>
      </c>
      <c r="N138">
        <f ca="1">[1]!MAD(E119:E139)</f>
        <v>1</v>
      </c>
    </row>
    <row r="139" spans="3:31" x14ac:dyDescent="0.3">
      <c r="C139" s="2" t="s">
        <v>400</v>
      </c>
      <c r="D139" s="37" cm="1">
        <f t="array" aca="1" ref="D139" ca="1">INDIRECT("'" &amp; C139 &amp; "'!$E$78")</f>
        <v>3</v>
      </c>
      <c r="E139" s="37" cm="1">
        <f t="array" aca="1" ref="E139" ca="1">INDIRECT("'" &amp; C139 &amp; "'!$F$78")</f>
        <v>4</v>
      </c>
      <c r="G139" s="63" t="s">
        <v>318</v>
      </c>
      <c r="H139" s="63">
        <f ca="1">[1]!IQR(D119:D139,FALSE)</f>
        <v>2</v>
      </c>
      <c r="M139" s="63" t="s">
        <v>318</v>
      </c>
      <c r="N139" s="63">
        <f ca="1">[1]!IQR(E119:E139,FALSE)</f>
        <v>1</v>
      </c>
    </row>
    <row r="145" spans="3:31" x14ac:dyDescent="0.3">
      <c r="C145" s="2"/>
      <c r="D145" s="59" t="s">
        <v>119</v>
      </c>
      <c r="E145" s="2"/>
    </row>
    <row r="146" spans="3:31" x14ac:dyDescent="0.3">
      <c r="C146" s="2"/>
      <c r="D146" s="2"/>
      <c r="E146" s="2"/>
    </row>
    <row r="147" spans="3:31" x14ac:dyDescent="0.3">
      <c r="C147" s="2" t="s">
        <v>285</v>
      </c>
      <c r="D147" s="37" cm="1">
        <f t="array" aca="1" ref="D147" ca="1">INDIRECT("'" &amp; C147 &amp; "'!$E$78")</f>
        <v>2</v>
      </c>
      <c r="E147" s="37" cm="1">
        <f t="array" aca="1" ref="E147" ca="1">INDIRECT("'" &amp; C147 &amp; "'!$F$78")</f>
        <v>5</v>
      </c>
      <c r="G147" t="s">
        <v>300</v>
      </c>
      <c r="J147" t="s">
        <v>331</v>
      </c>
      <c r="M147" t="s">
        <v>300</v>
      </c>
      <c r="P147" t="s">
        <v>331</v>
      </c>
      <c r="S147" t="s">
        <v>338</v>
      </c>
      <c r="AC147" t="s">
        <v>358</v>
      </c>
    </row>
    <row r="148" spans="3:31" x14ac:dyDescent="0.3">
      <c r="C148" s="2" t="s">
        <v>286</v>
      </c>
      <c r="D148" s="37" cm="1">
        <f t="array" aca="1" ref="D148" ca="1">INDIRECT("'" &amp; C148 &amp; "'!$E$78")</f>
        <v>3</v>
      </c>
      <c r="E148" s="37" cm="1">
        <f t="array" aca="1" ref="E148" ca="1">INDIRECT("'" &amp; C148 &amp; "'!$F$78")</f>
        <v>5</v>
      </c>
    </row>
    <row r="149" spans="3:31" ht="15" thickBot="1" x14ac:dyDescent="0.35">
      <c r="C149" s="2" t="s">
        <v>287</v>
      </c>
      <c r="D149" s="37" cm="1">
        <f t="array" aca="1" ref="D149" ca="1">INDIRECT("'" &amp; C149 &amp; "'!$E$78")</f>
        <v>3</v>
      </c>
      <c r="E149" s="37" cm="1">
        <f t="array" aca="1" ref="E149" ca="1">INDIRECT("'" &amp; C149 &amp; "'!$F$78")</f>
        <v>6</v>
      </c>
      <c r="G149" s="64"/>
      <c r="H149" s="64" t="s">
        <v>379</v>
      </c>
      <c r="J149" s="64"/>
      <c r="K149" s="64" t="s">
        <v>379</v>
      </c>
      <c r="M149" s="64"/>
      <c r="N149" s="64" t="s">
        <v>379</v>
      </c>
      <c r="P149" s="64"/>
      <c r="Q149" s="64" t="s">
        <v>379</v>
      </c>
      <c r="S149" t="s">
        <v>339</v>
      </c>
      <c r="V149" t="s">
        <v>340</v>
      </c>
      <c r="W149">
        <v>0.05</v>
      </c>
      <c r="Y149" t="s">
        <v>341</v>
      </c>
      <c r="Z149">
        <v>0</v>
      </c>
      <c r="AD149" t="s">
        <v>381</v>
      </c>
      <c r="AE149" t="s">
        <v>382</v>
      </c>
    </row>
    <row r="150" spans="3:31" ht="15" thickTop="1" x14ac:dyDescent="0.3">
      <c r="C150" s="2" t="s">
        <v>288</v>
      </c>
      <c r="D150" s="37" cm="1">
        <f t="array" aca="1" ref="D150" ca="1">INDIRECT("'" &amp; C150 &amp; "'!$E$78")</f>
        <v>1</v>
      </c>
      <c r="E150" s="37" cm="1">
        <f t="array" aca="1" ref="E150" ca="1">INDIRECT("'" &amp; C150 &amp; "'!$F$78")</f>
        <v>6</v>
      </c>
      <c r="G150" t="s">
        <v>301</v>
      </c>
      <c r="H150" s="65">
        <f ca="1">AVERAGE(D147:D167)</f>
        <v>2.9047619047619047</v>
      </c>
      <c r="J150" t="s">
        <v>332</v>
      </c>
      <c r="K150">
        <f ca="1">[1]!SHAPIRO(D147:D167)</f>
        <v>0.87440185471664433</v>
      </c>
      <c r="M150" t="s">
        <v>301</v>
      </c>
      <c r="N150" s="65">
        <f ca="1">AVERAGE(E147:E167)</f>
        <v>5</v>
      </c>
      <c r="P150" t="s">
        <v>332</v>
      </c>
      <c r="Q150">
        <f ca="1">[1]!SHAPIRO(E147:E167)</f>
        <v>0.86966674904881547</v>
      </c>
      <c r="S150" s="68" t="s">
        <v>342</v>
      </c>
      <c r="T150" s="68" t="s">
        <v>313</v>
      </c>
      <c r="U150" s="68" t="s">
        <v>301</v>
      </c>
      <c r="V150" s="68" t="s">
        <v>343</v>
      </c>
      <c r="W150" s="68" t="s">
        <v>344</v>
      </c>
      <c r="X150" s="68" t="s">
        <v>345</v>
      </c>
      <c r="Y150" s="68" t="s">
        <v>346</v>
      </c>
      <c r="Z150" s="68" t="s">
        <v>347</v>
      </c>
      <c r="AA150" s="68" t="s">
        <v>348</v>
      </c>
      <c r="AC150" t="s">
        <v>359</v>
      </c>
      <c r="AD150" s="71">
        <f ca="1">MEDIAN(D147:D167)</f>
        <v>3</v>
      </c>
      <c r="AE150" s="72">
        <f ca="1">MEDIAN(E147:E167)</f>
        <v>5</v>
      </c>
    </row>
    <row r="151" spans="3:31" x14ac:dyDescent="0.3">
      <c r="C151" s="2" t="s">
        <v>289</v>
      </c>
      <c r="D151" s="37" cm="1">
        <f t="array" aca="1" ref="D151" ca="1">INDIRECT("'" &amp; C151 &amp; "'!$E$78")</f>
        <v>1</v>
      </c>
      <c r="E151" s="37" cm="1">
        <f t="array" aca="1" ref="E151" ca="1">INDIRECT("'" &amp; C151 &amp; "'!$F$78")</f>
        <v>5</v>
      </c>
      <c r="G151" t="s">
        <v>302</v>
      </c>
      <c r="H151">
        <f ca="1">_xlfn.STDEV.S(D147:D167)/SQRT(COUNT(D147:D167))</f>
        <v>0.3897787034224976</v>
      </c>
      <c r="J151" t="s">
        <v>333</v>
      </c>
      <c r="K151">
        <f ca="1">[1]!SWTEST(D147:D167)</f>
        <v>1.1519811817579773E-2</v>
      </c>
      <c r="M151" t="s">
        <v>302</v>
      </c>
      <c r="N151">
        <f ca="1">_xlfn.STDEV.S(E147:E167)/SQRT(COUNT(E147:E167))</f>
        <v>0.36514837167011077</v>
      </c>
      <c r="P151" t="s">
        <v>333</v>
      </c>
      <c r="Q151">
        <f ca="1">[1]!SWTEST(E147:E167)</f>
        <v>9.4475764603648704E-3</v>
      </c>
      <c r="S151" t="s">
        <v>379</v>
      </c>
      <c r="T151">
        <f ca="1">COUNT(D147:D167)</f>
        <v>21</v>
      </c>
      <c r="U151" s="65">
        <f ca="1">AVERAGE(D147:D167)</f>
        <v>2.9047619047619047</v>
      </c>
      <c r="V151">
        <f ca="1">_xlfn.STDEV.S(D147:D167)</f>
        <v>1.7861904127153381</v>
      </c>
    </row>
    <row r="152" spans="3:31" x14ac:dyDescent="0.3">
      <c r="C152" s="2" t="s">
        <v>290</v>
      </c>
      <c r="D152" s="37" cm="1">
        <f t="array" aca="1" ref="D152" ca="1">INDIRECT("'" &amp; C152 &amp; "'!$E$78")</f>
        <v>3</v>
      </c>
      <c r="E152" s="37" cm="1">
        <f t="array" aca="1" ref="E152" ca="1">INDIRECT("'" &amp; C152 &amp; "'!$F$78")</f>
        <v>5</v>
      </c>
      <c r="G152" t="s">
        <v>303</v>
      </c>
      <c r="H152" s="65">
        <f ca="1">MEDIAN(D147:D167)</f>
        <v>3</v>
      </c>
      <c r="J152" t="s">
        <v>334</v>
      </c>
      <c r="K152">
        <v>0.05</v>
      </c>
      <c r="M152" t="s">
        <v>303</v>
      </c>
      <c r="N152" s="65">
        <f ca="1">MEDIAN(E147:E167)</f>
        <v>5</v>
      </c>
      <c r="P152" t="s">
        <v>334</v>
      </c>
      <c r="Q152">
        <v>0.05</v>
      </c>
      <c r="S152" t="s">
        <v>380</v>
      </c>
      <c r="T152">
        <f ca="1">COUNT(E147:E167)</f>
        <v>21</v>
      </c>
      <c r="U152" s="65">
        <f ca="1">AVERAGE(E147:E167)</f>
        <v>5</v>
      </c>
      <c r="V152">
        <f ca="1">_xlfn.STDEV.S(E147:E167)</f>
        <v>1.6733200530681511</v>
      </c>
      <c r="AC152" t="s">
        <v>360</v>
      </c>
      <c r="AD152" s="73">
        <f ca="1">SUMPRODUCT(--ISNUMBER(D147:D167),--ISNUMBER(E147:E167))</f>
        <v>21</v>
      </c>
    </row>
    <row r="153" spans="3:31" x14ac:dyDescent="0.3">
      <c r="C153" s="2" t="s">
        <v>291</v>
      </c>
      <c r="D153" s="37" cm="1">
        <f t="array" aca="1" ref="D153" ca="1">INDIRECT("'" &amp; C153 &amp; "'!$E$78")</f>
        <v>2</v>
      </c>
      <c r="E153" s="37" cm="1">
        <f t="array" aca="1" ref="E153" ca="1">INDIRECT("'" &amp; C153 &amp; "'!$F$78")</f>
        <v>2</v>
      </c>
      <c r="G153" t="s">
        <v>304</v>
      </c>
      <c r="H153">
        <f ca="1">MODE(D147:D167)</f>
        <v>3</v>
      </c>
      <c r="J153" s="63" t="s">
        <v>335</v>
      </c>
      <c r="K153" s="66" t="str">
        <f ca="1">IF(K151&lt;K152,"no","yes")</f>
        <v>no</v>
      </c>
      <c r="M153" t="s">
        <v>304</v>
      </c>
      <c r="N153">
        <f ca="1">MODE(E147:E167)</f>
        <v>5</v>
      </c>
      <c r="P153" s="63" t="s">
        <v>335</v>
      </c>
      <c r="Q153" s="66" t="str">
        <f ca="1">IF(Q151&lt;Q152,"no","yes")</f>
        <v>no</v>
      </c>
      <c r="S153" s="67" t="s">
        <v>349</v>
      </c>
      <c r="T153" s="67">
        <f ca="1">T152</f>
        <v>21</v>
      </c>
      <c r="U153" s="69">
        <f ca="1">U151-U152</f>
        <v>-2.0952380952380953</v>
      </c>
      <c r="V153" s="67">
        <f t="array" aca="1" ref="V153" ca="1">_xlfn.STDEV.S(D147:D167-E147:E167)</f>
        <v>1.868281614338746</v>
      </c>
      <c r="W153" s="67">
        <f ca="1">V153/SQRT(T153)</f>
        <v>0.40769247224769511</v>
      </c>
      <c r="X153" s="67">
        <f ca="1">(U151-U152-Z149)/W153</f>
        <v>-5.1392611781291988</v>
      </c>
      <c r="Y153" s="67">
        <f ca="1">T153-1</f>
        <v>20</v>
      </c>
      <c r="Z153" s="67">
        <f ca="1">ABS(U151-U152-Z149)/V153</f>
        <v>1.1214787316630945</v>
      </c>
      <c r="AA153" s="67">
        <f ca="1">SQRT(X153^2/(X153^2+Y153))</f>
        <v>0.75437193314800488</v>
      </c>
      <c r="AC153" t="s">
        <v>361</v>
      </c>
      <c r="AD153" s="74">
        <f ca="1">SUMPRODUCT(--ISNUMBER(D147:D167),--ISNUMBER(E147:E167),--(D147:D167&lt;&gt;E147:E167))</f>
        <v>17</v>
      </c>
    </row>
    <row r="154" spans="3:31" x14ac:dyDescent="0.3">
      <c r="C154" s="2" t="s">
        <v>292</v>
      </c>
      <c r="D154" s="37" cm="1">
        <f t="array" aca="1" ref="D154" ca="1">INDIRECT("'" &amp; C154 &amp; "'!$E$78")</f>
        <v>1</v>
      </c>
      <c r="E154" s="37" cm="1">
        <f t="array" aca="1" ref="E154" ca="1">INDIRECT("'" &amp; C154 &amp; "'!$F$78")</f>
        <v>6</v>
      </c>
      <c r="G154" t="s">
        <v>305</v>
      </c>
      <c r="H154">
        <f ca="1">_xlfn.STDEV.S(D147:D167)</f>
        <v>1.7861904127153381</v>
      </c>
      <c r="M154" t="s">
        <v>305</v>
      </c>
      <c r="N154">
        <f ca="1">_xlfn.STDEV.S(E147:E167)</f>
        <v>1.6733200530681511</v>
      </c>
      <c r="AC154" t="s">
        <v>362</v>
      </c>
      <c r="AD154" s="74">
        <f ca="1">IF(AD156&lt;=AD159,AD156,AD153*(AD153+1)/2)</f>
        <v>3</v>
      </c>
    </row>
    <row r="155" spans="3:31" ht="15" thickBot="1" x14ac:dyDescent="0.35">
      <c r="C155" s="2" t="s">
        <v>293</v>
      </c>
      <c r="D155" s="37" cm="1">
        <f t="array" aca="1" ref="D155" ca="1">INDIRECT("'" &amp; C155 &amp; "'!$E$78")</f>
        <v>1</v>
      </c>
      <c r="E155" s="37" cm="1">
        <f t="array" aca="1" ref="E155" ca="1">INDIRECT("'" &amp; C155 &amp; "'!$F$78")</f>
        <v>5</v>
      </c>
      <c r="G155" t="s">
        <v>306</v>
      </c>
      <c r="H155">
        <f ca="1">_xlfn.VAR.S(D147:D167)</f>
        <v>3.1904761904761898</v>
      </c>
      <c r="J155" t="s">
        <v>336</v>
      </c>
      <c r="M155" t="s">
        <v>306</v>
      </c>
      <c r="N155">
        <f ca="1">_xlfn.VAR.S(E147:E167)</f>
        <v>2.8</v>
      </c>
      <c r="P155" t="s">
        <v>336</v>
      </c>
      <c r="S155" t="s">
        <v>350</v>
      </c>
      <c r="AC155" t="s">
        <v>363</v>
      </c>
      <c r="AD155" s="74">
        <f ca="1">AD153*(AD153+1)/2-AD154</f>
        <v>150</v>
      </c>
    </row>
    <row r="156" spans="3:31" ht="15" thickTop="1" x14ac:dyDescent="0.3">
      <c r="C156" s="2" t="s">
        <v>294</v>
      </c>
      <c r="D156" s="37" cm="1">
        <f t="array" aca="1" ref="D156" ca="1">INDIRECT("'" &amp; C156 &amp; "'!$E$78")</f>
        <v>2</v>
      </c>
      <c r="E156" s="37" cm="1">
        <f t="array" aca="1" ref="E156" ca="1">INDIRECT("'" &amp; C156 &amp; "'!$F$78")</f>
        <v>7</v>
      </c>
      <c r="G156" t="s">
        <v>307</v>
      </c>
      <c r="H156">
        <f ca="1">KURT(D147:D167)</f>
        <v>-0.11232369183149293</v>
      </c>
      <c r="M156" t="s">
        <v>307</v>
      </c>
      <c r="N156">
        <f ca="1">KURT(E147:E167)</f>
        <v>0.69548872180451093</v>
      </c>
      <c r="S156" s="68" t="s">
        <v>351</v>
      </c>
      <c r="T156" s="68" t="s">
        <v>333</v>
      </c>
      <c r="U156" s="68" t="s">
        <v>352</v>
      </c>
      <c r="V156" s="68" t="s">
        <v>353</v>
      </c>
      <c r="W156" s="68" t="s">
        <v>354</v>
      </c>
      <c r="X156" s="68" t="s">
        <v>355</v>
      </c>
      <c r="AC156" t="s">
        <v>364</v>
      </c>
      <c r="AD156" s="75">
        <f ca="1">[1]!SRANK(D147:D167,E147:E167)</f>
        <v>3</v>
      </c>
    </row>
    <row r="157" spans="3:31" x14ac:dyDescent="0.3">
      <c r="C157" s="2" t="s">
        <v>295</v>
      </c>
      <c r="D157" s="37" cm="1">
        <f t="array" aca="1" ref="D157" ca="1">INDIRECT("'" &amp; C157 &amp; "'!$E$78")</f>
        <v>7</v>
      </c>
      <c r="E157" s="37" cm="1">
        <f t="array" aca="1" ref="E157" ca="1">INDIRECT("'" &amp; C157 &amp; "'!$F$78")</f>
        <v>7</v>
      </c>
      <c r="G157" t="s">
        <v>308</v>
      </c>
      <c r="H157">
        <f ca="1">SKEW(D147:D167)</f>
        <v>0.79760037498108038</v>
      </c>
      <c r="J157" s="67" t="s">
        <v>337</v>
      </c>
      <c r="K157" s="67">
        <f ca="1">[1]!DAGOSTINO(D147:D167)</f>
        <v>2.5948566458730755</v>
      </c>
      <c r="M157" t="s">
        <v>308</v>
      </c>
      <c r="N157">
        <f ca="1">SKEW(E147:E167)</f>
        <v>-0.9907816103692999</v>
      </c>
      <c r="P157" s="67" t="s">
        <v>337</v>
      </c>
      <c r="Q157" s="67">
        <f ca="1">[1]!DAGOSTINO(E147:E167)</f>
        <v>4.6069003420561714</v>
      </c>
      <c r="S157" t="s">
        <v>356</v>
      </c>
      <c r="T157">
        <f ca="1">_xlfn.T.DIST.RT(ABS(X153),Y153)</f>
        <v>2.4971884136674119E-5</v>
      </c>
      <c r="U157">
        <f ca="1">_xlfn.T.INV.2T(W149*2,Y153)</f>
        <v>1.7247182429207868</v>
      </c>
      <c r="X157" s="70" t="str">
        <f ca="1">IF(T157&lt;W149,"yes","no")</f>
        <v>yes</v>
      </c>
    </row>
    <row r="158" spans="3:31" x14ac:dyDescent="0.3">
      <c r="C158" s="2" t="s">
        <v>296</v>
      </c>
      <c r="D158" s="37" cm="1">
        <f t="array" aca="1" ref="D158" ca="1">INDIRECT("'" &amp; C158 &amp; "'!$E$78")</f>
        <v>5</v>
      </c>
      <c r="E158" s="37" cm="1">
        <f t="array" aca="1" ref="E158" ca="1">INDIRECT("'" &amp; C158 &amp; "'!$F$78")</f>
        <v>6</v>
      </c>
      <c r="G158" t="s">
        <v>309</v>
      </c>
      <c r="H158">
        <f ca="1">H159-H160</f>
        <v>6</v>
      </c>
      <c r="J158" t="s">
        <v>333</v>
      </c>
      <c r="K158">
        <f ca="1">[1]!DPTEST(D147:D167)</f>
        <v>0.27323355876587874</v>
      </c>
      <c r="M158" t="s">
        <v>309</v>
      </c>
      <c r="N158">
        <f ca="1">N159-N160</f>
        <v>6</v>
      </c>
      <c r="P158" t="s">
        <v>333</v>
      </c>
      <c r="Q158">
        <f ca="1">[1]!DPTEST(E147:E167)</f>
        <v>9.9913529603808726E-2</v>
      </c>
      <c r="S158" t="s">
        <v>357</v>
      </c>
      <c r="T158">
        <f ca="1">_xlfn.T.DIST.2T(ABS(X153),Y153)</f>
        <v>4.9943768273348239E-5</v>
      </c>
      <c r="U158">
        <f ca="1">_xlfn.T.INV.2T(W149,Y153)</f>
        <v>2.0859634472658648</v>
      </c>
      <c r="V158">
        <f ca="1">(U151-U152)-W153*U158</f>
        <v>-2.9456696900722403</v>
      </c>
      <c r="W158">
        <f ca="1">(U151-U152)+W153*U158</f>
        <v>-1.2448065004039504</v>
      </c>
      <c r="X158" s="70" t="str">
        <f ca="1">IF(T158&lt;W149,"yes","no")</f>
        <v>yes</v>
      </c>
      <c r="AD158" s="70" t="s">
        <v>365</v>
      </c>
      <c r="AE158" s="70" t="s">
        <v>366</v>
      </c>
    </row>
    <row r="159" spans="3:31" x14ac:dyDescent="0.3">
      <c r="C159" s="2" t="s">
        <v>297</v>
      </c>
      <c r="D159" s="37" cm="1">
        <f t="array" aca="1" ref="D159" ca="1">INDIRECT("'" &amp; C159 &amp; "'!$E$78")</f>
        <v>3</v>
      </c>
      <c r="E159" s="37" cm="1">
        <f t="array" aca="1" ref="E159" ca="1">INDIRECT("'" &amp; C159 &amp; "'!$F$78")</f>
        <v>5</v>
      </c>
      <c r="G159" t="s">
        <v>310</v>
      </c>
      <c r="H159" s="65">
        <f ca="1">MAX(D147:D167)</f>
        <v>7</v>
      </c>
      <c r="J159" t="s">
        <v>334</v>
      </c>
      <c r="K159">
        <v>0.05</v>
      </c>
      <c r="M159" t="s">
        <v>310</v>
      </c>
      <c r="N159" s="65">
        <f ca="1">MAX(E147:E167)</f>
        <v>7</v>
      </c>
      <c r="P159" t="s">
        <v>334</v>
      </c>
      <c r="Q159">
        <v>0.05</v>
      </c>
      <c r="S159" s="67"/>
      <c r="T159" s="67"/>
      <c r="U159" s="67"/>
      <c r="V159" s="67"/>
      <c r="W159" s="67"/>
      <c r="X159" s="67"/>
      <c r="AC159" t="s">
        <v>367</v>
      </c>
      <c r="AD159" s="73">
        <f ca="1">AD153*(AD153+1)/4</f>
        <v>76.5</v>
      </c>
    </row>
    <row r="160" spans="3:31" x14ac:dyDescent="0.3">
      <c r="C160" s="2" t="s">
        <v>298</v>
      </c>
      <c r="D160" s="37" cm="1">
        <f t="array" aca="1" ref="D160" ca="1">INDIRECT("'" &amp; C160 &amp; "'!$E$78")</f>
        <v>1</v>
      </c>
      <c r="E160" s="37" cm="1">
        <f t="array" aca="1" ref="E160" ca="1">INDIRECT("'" &amp; C160 &amp; "'!$F$78")</f>
        <v>1</v>
      </c>
      <c r="G160" t="s">
        <v>311</v>
      </c>
      <c r="H160" s="65">
        <f ca="1">MIN(D147:D167)</f>
        <v>1</v>
      </c>
      <c r="J160" s="63" t="s">
        <v>335</v>
      </c>
      <c r="K160" s="66" t="str">
        <f ca="1">IF(K158&lt;K159,"no","yes")</f>
        <v>yes</v>
      </c>
      <c r="M160" t="s">
        <v>311</v>
      </c>
      <c r="N160" s="65">
        <f ca="1">MIN(E147:E167)</f>
        <v>1</v>
      </c>
      <c r="P160" s="63" t="s">
        <v>335</v>
      </c>
      <c r="Q160" s="66" t="str">
        <f ca="1">IF(Q158&lt;Q159,"no","yes")</f>
        <v>yes</v>
      </c>
      <c r="AC160" t="s">
        <v>368</v>
      </c>
      <c r="AD160" s="74">
        <f ca="1">SQRT(AD159*(2*AD153+1)/6-[1]!TiesCorrection(D147:D167,E147:E167,1)/48)</f>
        <v>21.008926674154488</v>
      </c>
      <c r="AE160" t="s">
        <v>369</v>
      </c>
    </row>
    <row r="161" spans="3:31" x14ac:dyDescent="0.3">
      <c r="C161" s="2" t="s">
        <v>299</v>
      </c>
      <c r="D161" s="37" cm="1">
        <f t="array" aca="1" ref="D161" ca="1">INDIRECT("'" &amp; C161 &amp; "'!$E$78")</f>
        <v>3</v>
      </c>
      <c r="E161" s="37" cm="1">
        <f t="array" aca="1" ref="E161" ca="1">INDIRECT("'" &amp; C161 &amp; "'!$F$78")</f>
        <v>4</v>
      </c>
      <c r="G161" t="s">
        <v>312</v>
      </c>
      <c r="H161" s="65">
        <f ca="1">SUM(D147:D167)</f>
        <v>61</v>
      </c>
      <c r="M161" t="s">
        <v>312</v>
      </c>
      <c r="N161" s="65">
        <f ca="1">SUM(E147:E167)</f>
        <v>105</v>
      </c>
      <c r="AC161" t="s">
        <v>370</v>
      </c>
      <c r="AD161" s="74">
        <f ca="1">ABS(ABS(AD156-AD159)-1/2)/AD160</f>
        <v>3.4747134459660782</v>
      </c>
      <c r="AE161" t="s">
        <v>371</v>
      </c>
    </row>
    <row r="162" spans="3:31" x14ac:dyDescent="0.3">
      <c r="C162" s="2" t="s">
        <v>395</v>
      </c>
      <c r="D162" s="37" cm="1">
        <f t="array" aca="1" ref="D162" ca="1">INDIRECT("'" &amp; C162 &amp; "'!$E$78")</f>
        <v>5</v>
      </c>
      <c r="E162" s="37" cm="1">
        <f t="array" aca="1" ref="E162" ca="1">INDIRECT("'" &amp; C162 &amp; "'!$F$78")</f>
        <v>5</v>
      </c>
      <c r="G162" t="s">
        <v>313</v>
      </c>
      <c r="H162">
        <f ca="1">COUNT(D147:D167)</f>
        <v>21</v>
      </c>
      <c r="M162" t="s">
        <v>313</v>
      </c>
      <c r="N162">
        <f ca="1">COUNT(E147:E167)</f>
        <v>21</v>
      </c>
      <c r="AC162" t="s">
        <v>372</v>
      </c>
      <c r="AD162" s="74">
        <f ca="1">AD161/SQRT(AD153)</f>
        <v>0.84274179743953315</v>
      </c>
    </row>
    <row r="163" spans="3:31" x14ac:dyDescent="0.3">
      <c r="C163" s="2" t="s">
        <v>396</v>
      </c>
      <c r="D163" s="37" cm="1">
        <f t="array" aca="1" ref="D163" ca="1">INDIRECT("'" &amp; C163 &amp; "'!$E$78")</f>
        <v>1</v>
      </c>
      <c r="E163" s="37" cm="1">
        <f t="array" aca="1" ref="E163" ca="1">INDIRECT("'" &amp; C163 &amp; "'!$F$78")</f>
        <v>5</v>
      </c>
      <c r="G163" t="s">
        <v>314</v>
      </c>
      <c r="H163">
        <f ca="1">GEOMEAN(D147:D167)</f>
        <v>2.394391413156419</v>
      </c>
      <c r="M163" t="s">
        <v>314</v>
      </c>
      <c r="N163">
        <f ca="1">GEOMEAN(E147:E167)</f>
        <v>4.5864134100227263</v>
      </c>
      <c r="AC163" t="s">
        <v>373</v>
      </c>
      <c r="AD163" s="73">
        <f ca="1">1-_xlfn.NORM.S.DIST(AD161,TRUE)</f>
        <v>2.5569966392202659E-4</v>
      </c>
      <c r="AE163" s="76">
        <f ca="1">2*AD163</f>
        <v>5.1139932784405318E-4</v>
      </c>
    </row>
    <row r="164" spans="3:31" x14ac:dyDescent="0.3">
      <c r="C164" s="2" t="s">
        <v>397</v>
      </c>
      <c r="D164" s="37" cm="1">
        <f t="array" aca="1" ref="D164" ca="1">INDIRECT("'" &amp; C164 &amp; "'!$E$78")</f>
        <v>5</v>
      </c>
      <c r="E164" s="37" cm="1">
        <f t="array" aca="1" ref="E164" ca="1">INDIRECT("'" &amp; C164 &amp; "'!$F$78")</f>
        <v>7</v>
      </c>
      <c r="G164" t="s">
        <v>315</v>
      </c>
      <c r="H164">
        <f ca="1">HARMEAN(D147:D167)</f>
        <v>1.9547872340425532</v>
      </c>
      <c r="M164" t="s">
        <v>315</v>
      </c>
      <c r="N164">
        <f ca="1">HARMEAN(E147:E167)</f>
        <v>3.9339875111507583</v>
      </c>
      <c r="AC164" t="s">
        <v>374</v>
      </c>
      <c r="AD164" s="74">
        <f ca="1">[1]!SRDIST(AD156,AD153,1)</f>
        <v>3.814697265625E-5</v>
      </c>
      <c r="AE164" s="77">
        <f ca="1">2*AD164</f>
        <v>7.62939453125E-5</v>
      </c>
    </row>
    <row r="165" spans="3:31" x14ac:dyDescent="0.3">
      <c r="C165" s="2" t="s">
        <v>398</v>
      </c>
      <c r="D165" s="37" cm="1">
        <f t="array" aca="1" ref="D165" ca="1">INDIRECT("'" &amp; C165 &amp; "'!$E$78")</f>
        <v>3</v>
      </c>
      <c r="E165" s="37" cm="1">
        <f t="array" aca="1" ref="E165" ca="1">INDIRECT("'" &amp; C165 &amp; "'!$F$78")</f>
        <v>2</v>
      </c>
      <c r="G165" t="s">
        <v>316</v>
      </c>
      <c r="H165">
        <f ca="1">AVEDEV(D147:D167)</f>
        <v>1.346938775510204</v>
      </c>
      <c r="M165" t="s">
        <v>316</v>
      </c>
      <c r="N165">
        <f ca="1">AVEDEV(E147:E167)</f>
        <v>1.1428571428571428</v>
      </c>
      <c r="AC165" t="s">
        <v>375</v>
      </c>
      <c r="AD165" s="75" t="s">
        <v>376</v>
      </c>
      <c r="AE165" s="78" t="s">
        <v>376</v>
      </c>
    </row>
    <row r="166" spans="3:31" x14ac:dyDescent="0.3">
      <c r="C166" s="2" t="s">
        <v>399</v>
      </c>
      <c r="D166" s="37" cm="1">
        <f t="array" aca="1" ref="D166" ca="1">INDIRECT("'" &amp; C166 &amp; "'!$E$78")</f>
        <v>6</v>
      </c>
      <c r="E166" s="37" cm="1">
        <f t="array" aca="1" ref="E166" ca="1">INDIRECT("'" &amp; C166 &amp; "'!$F$78")</f>
        <v>7</v>
      </c>
      <c r="G166" t="s">
        <v>317</v>
      </c>
      <c r="H166">
        <f ca="1">[1]!MAD(D147:D167)</f>
        <v>2</v>
      </c>
      <c r="M166" t="s">
        <v>317</v>
      </c>
      <c r="N166">
        <f ca="1">[1]!MAD(E147:E167)</f>
        <v>1</v>
      </c>
    </row>
    <row r="167" spans="3:31" x14ac:dyDescent="0.3">
      <c r="C167" s="2" t="s">
        <v>400</v>
      </c>
      <c r="D167" s="37" cm="1">
        <f t="array" aca="1" ref="D167" ca="1">INDIRECT("'" &amp; C167 &amp; "'!$E$78")</f>
        <v>3</v>
      </c>
      <c r="E167" s="37" cm="1">
        <f t="array" aca="1" ref="E167" ca="1">INDIRECT("'" &amp; C167 &amp; "'!$F$78")</f>
        <v>4</v>
      </c>
      <c r="G167" s="63" t="s">
        <v>318</v>
      </c>
      <c r="H167" s="63">
        <f ca="1">[1]!IQR(D147:D167,FALSE)</f>
        <v>2</v>
      </c>
      <c r="M167" s="63" t="s">
        <v>318</v>
      </c>
      <c r="N167" s="63">
        <f ca="1">[1]!IQR(E147:E167,FALSE)</f>
        <v>1</v>
      </c>
    </row>
    <row r="172" spans="3:31" x14ac:dyDescent="0.3">
      <c r="C172" s="2"/>
      <c r="D172" s="59" t="s">
        <v>121</v>
      </c>
      <c r="E172" s="2"/>
    </row>
    <row r="173" spans="3:31" x14ac:dyDescent="0.3">
      <c r="C173" s="2"/>
      <c r="D173" s="2"/>
      <c r="E173" s="2"/>
    </row>
    <row r="174" spans="3:31" x14ac:dyDescent="0.3">
      <c r="C174" s="2" t="s">
        <v>285</v>
      </c>
      <c r="D174" s="37" cm="1">
        <f t="array" aca="1" ref="D174" ca="1">INDIRECT("'" &amp; C174 &amp; "'!$E$78")</f>
        <v>2</v>
      </c>
      <c r="E174" s="37" cm="1">
        <f t="array" aca="1" ref="E174" ca="1">INDIRECT("'" &amp; C174 &amp; "'!$F$78")</f>
        <v>5</v>
      </c>
      <c r="G174" t="s">
        <v>300</v>
      </c>
      <c r="J174" t="s">
        <v>331</v>
      </c>
      <c r="M174" t="s">
        <v>300</v>
      </c>
      <c r="P174" t="s">
        <v>331</v>
      </c>
      <c r="S174" t="s">
        <v>338</v>
      </c>
      <c r="AC174" t="s">
        <v>358</v>
      </c>
    </row>
    <row r="175" spans="3:31" x14ac:dyDescent="0.3">
      <c r="C175" s="2" t="s">
        <v>286</v>
      </c>
      <c r="D175" s="37" cm="1">
        <f t="array" aca="1" ref="D175" ca="1">INDIRECT("'" &amp; C175 &amp; "'!$E$78")</f>
        <v>3</v>
      </c>
      <c r="E175" s="37" cm="1">
        <f t="array" aca="1" ref="E175" ca="1">INDIRECT("'" &amp; C175 &amp; "'!$F$78")</f>
        <v>5</v>
      </c>
    </row>
    <row r="176" spans="3:31" ht="15" thickBot="1" x14ac:dyDescent="0.35">
      <c r="C176" s="2" t="s">
        <v>287</v>
      </c>
      <c r="D176" s="37" cm="1">
        <f t="array" aca="1" ref="D176" ca="1">INDIRECT("'" &amp; C176 &amp; "'!$E$78")</f>
        <v>3</v>
      </c>
      <c r="E176" s="37" cm="1">
        <f t="array" aca="1" ref="E176" ca="1">INDIRECT("'" &amp; C176 &amp; "'!$F$78")</f>
        <v>6</v>
      </c>
      <c r="G176" s="64"/>
      <c r="H176" s="64" t="s">
        <v>379</v>
      </c>
      <c r="J176" s="64"/>
      <c r="K176" s="64" t="s">
        <v>379</v>
      </c>
      <c r="M176" s="64"/>
      <c r="N176" s="64" t="s">
        <v>379</v>
      </c>
      <c r="P176" s="64"/>
      <c r="Q176" s="64" t="s">
        <v>379</v>
      </c>
      <c r="S176" t="s">
        <v>339</v>
      </c>
      <c r="V176" t="s">
        <v>340</v>
      </c>
      <c r="W176">
        <v>0.05</v>
      </c>
      <c r="Y176" t="s">
        <v>341</v>
      </c>
      <c r="Z176">
        <v>0</v>
      </c>
      <c r="AD176" s="65">
        <f ca="1">D174</f>
        <v>2</v>
      </c>
      <c r="AE176" s="65">
        <f ca="1">E174</f>
        <v>5</v>
      </c>
    </row>
    <row r="177" spans="3:31" ht="15" thickTop="1" x14ac:dyDescent="0.3">
      <c r="C177" s="2" t="s">
        <v>288</v>
      </c>
      <c r="D177" s="37" cm="1">
        <f t="array" aca="1" ref="D177" ca="1">INDIRECT("'" &amp; C177 &amp; "'!$E$78")</f>
        <v>1</v>
      </c>
      <c r="E177" s="37" cm="1">
        <f t="array" aca="1" ref="E177" ca="1">INDIRECT("'" &amp; C177 &amp; "'!$F$78")</f>
        <v>6</v>
      </c>
      <c r="G177" t="s">
        <v>301</v>
      </c>
      <c r="H177" s="65">
        <f ca="1">AVERAGE(D174:D194)</f>
        <v>2.9047619047619047</v>
      </c>
      <c r="J177" t="s">
        <v>332</v>
      </c>
      <c r="K177">
        <f ca="1">[1]!SHAPIRO(D174:D194)</f>
        <v>0.87440185471664433</v>
      </c>
      <c r="M177" t="s">
        <v>301</v>
      </c>
      <c r="N177" s="65">
        <f ca="1">AVERAGE(E174:E194)</f>
        <v>5</v>
      </c>
      <c r="P177" t="s">
        <v>332</v>
      </c>
      <c r="Q177">
        <f ca="1">[1]!SHAPIRO(E174:E194)</f>
        <v>0.86966674904881547</v>
      </c>
      <c r="S177" s="68" t="s">
        <v>342</v>
      </c>
      <c r="T177" s="68" t="s">
        <v>313</v>
      </c>
      <c r="U177" s="68" t="s">
        <v>301</v>
      </c>
      <c r="V177" s="68" t="s">
        <v>343</v>
      </c>
      <c r="W177" s="68" t="s">
        <v>344</v>
      </c>
      <c r="X177" s="68" t="s">
        <v>345</v>
      </c>
      <c r="Y177" s="68" t="s">
        <v>346</v>
      </c>
      <c r="Z177" s="68" t="s">
        <v>347</v>
      </c>
      <c r="AA177" s="68" t="s">
        <v>348</v>
      </c>
      <c r="AC177" t="s">
        <v>359</v>
      </c>
      <c r="AD177" s="71">
        <f ca="1">MEDIAN(D175:D194)</f>
        <v>3</v>
      </c>
      <c r="AE177" s="72">
        <f ca="1">MEDIAN(E175:E194)</f>
        <v>5</v>
      </c>
    </row>
    <row r="178" spans="3:31" x14ac:dyDescent="0.3">
      <c r="C178" s="2" t="s">
        <v>289</v>
      </c>
      <c r="D178" s="37" cm="1">
        <f t="array" aca="1" ref="D178" ca="1">INDIRECT("'" &amp; C178 &amp; "'!$E$78")</f>
        <v>1</v>
      </c>
      <c r="E178" s="37" cm="1">
        <f t="array" aca="1" ref="E178" ca="1">INDIRECT("'" &amp; C178 &amp; "'!$F$78")</f>
        <v>5</v>
      </c>
      <c r="G178" t="s">
        <v>302</v>
      </c>
      <c r="H178">
        <f ca="1">_xlfn.STDEV.S(D174:D194)/SQRT(COUNT(D174:D194))</f>
        <v>0.3897787034224976</v>
      </c>
      <c r="J178" t="s">
        <v>333</v>
      </c>
      <c r="K178">
        <f ca="1">[1]!SWTEST(D174:D194)</f>
        <v>1.1519811817579773E-2</v>
      </c>
      <c r="M178" t="s">
        <v>302</v>
      </c>
      <c r="N178">
        <f ca="1">_xlfn.STDEV.S(E174:E194)/SQRT(COUNT(E174:E194))</f>
        <v>0.36514837167011077</v>
      </c>
      <c r="P178" t="s">
        <v>333</v>
      </c>
      <c r="Q178">
        <f ca="1">[1]!SWTEST(E174:E194)</f>
        <v>9.4475764603648704E-3</v>
      </c>
      <c r="S178" s="65">
        <f ca="1">D174</f>
        <v>2</v>
      </c>
      <c r="T178">
        <f ca="1">COUNT(D175:D194)</f>
        <v>20</v>
      </c>
      <c r="U178" s="65">
        <f ca="1">AVERAGE(D175:D194)</f>
        <v>2.95</v>
      </c>
      <c r="V178">
        <f ca="1">_xlfn.STDEV.S(D175:D194)</f>
        <v>1.8202082009311027</v>
      </c>
    </row>
    <row r="179" spans="3:31" x14ac:dyDescent="0.3">
      <c r="C179" s="2" t="s">
        <v>290</v>
      </c>
      <c r="D179" s="37" cm="1">
        <f t="array" aca="1" ref="D179" ca="1">INDIRECT("'" &amp; C179 &amp; "'!$E$78")</f>
        <v>3</v>
      </c>
      <c r="E179" s="37" cm="1">
        <f t="array" aca="1" ref="E179" ca="1">INDIRECT("'" &amp; C179 &amp; "'!$F$78")</f>
        <v>5</v>
      </c>
      <c r="G179" t="s">
        <v>303</v>
      </c>
      <c r="H179" s="65">
        <f ca="1">MEDIAN(D174:D194)</f>
        <v>3</v>
      </c>
      <c r="J179" t="s">
        <v>334</v>
      </c>
      <c r="K179">
        <v>0.05</v>
      </c>
      <c r="M179" t="s">
        <v>303</v>
      </c>
      <c r="N179" s="65">
        <f ca="1">MEDIAN(E174:E194)</f>
        <v>5</v>
      </c>
      <c r="P179" t="s">
        <v>334</v>
      </c>
      <c r="Q179">
        <v>0.05</v>
      </c>
      <c r="S179" s="65">
        <f ca="1">E174</f>
        <v>5</v>
      </c>
      <c r="T179">
        <f ca="1">COUNT(E175:E194)</f>
        <v>20</v>
      </c>
      <c r="U179" s="65">
        <f ca="1">AVERAGE(E175:E194)</f>
        <v>5</v>
      </c>
      <c r="V179">
        <f ca="1">_xlfn.STDEV.S(E175:E194)</f>
        <v>1.7167901505579042</v>
      </c>
      <c r="AC179" t="s">
        <v>360</v>
      </c>
      <c r="AD179" s="73">
        <f ca="1">SUMPRODUCT(--ISNUMBER(D175:D194),--ISNUMBER(E175:E194))</f>
        <v>20</v>
      </c>
    </row>
    <row r="180" spans="3:31" x14ac:dyDescent="0.3">
      <c r="C180" s="2" t="s">
        <v>291</v>
      </c>
      <c r="D180" s="37" cm="1">
        <f t="array" aca="1" ref="D180" ca="1">INDIRECT("'" &amp; C180 &amp; "'!$E$78")</f>
        <v>2</v>
      </c>
      <c r="E180" s="37" cm="1">
        <f t="array" aca="1" ref="E180" ca="1">INDIRECT("'" &amp; C180 &amp; "'!$F$78")</f>
        <v>2</v>
      </c>
      <c r="G180" t="s">
        <v>304</v>
      </c>
      <c r="H180">
        <f ca="1">MODE(D174:D194)</f>
        <v>3</v>
      </c>
      <c r="J180" s="63" t="s">
        <v>335</v>
      </c>
      <c r="K180" s="66" t="str">
        <f ca="1">IF(K178&lt;K179,"no","yes")</f>
        <v>no</v>
      </c>
      <c r="M180" t="s">
        <v>304</v>
      </c>
      <c r="N180">
        <f ca="1">MODE(E174:E194)</f>
        <v>5</v>
      </c>
      <c r="P180" s="63" t="s">
        <v>335</v>
      </c>
      <c r="Q180" s="66" t="str">
        <f ca="1">IF(Q178&lt;Q179,"no","yes")</f>
        <v>no</v>
      </c>
      <c r="S180" s="67" t="s">
        <v>349</v>
      </c>
      <c r="T180" s="67">
        <f ca="1">T179</f>
        <v>20</v>
      </c>
      <c r="U180" s="69">
        <f ca="1">U178-U179</f>
        <v>-2.0499999999999998</v>
      </c>
      <c r="V180" s="67">
        <f t="array" aca="1" ref="V180" ca="1">_xlfn.STDEV.S(D175:D194-E175:E194)</f>
        <v>1.9049796241485244</v>
      </c>
      <c r="W180" s="67">
        <f ca="1">V180/SQRT(T180)</f>
        <v>0.42596639353481003</v>
      </c>
      <c r="X180" s="67">
        <f ca="1">(U178-U179-Z176)/W180</f>
        <v>-4.8125862300742126</v>
      </c>
      <c r="Y180" s="67">
        <f ca="1">T180-1</f>
        <v>19</v>
      </c>
      <c r="Z180" s="67">
        <f ca="1">ABS(U178-U179-Z176)/V180</f>
        <v>1.0761269958025381</v>
      </c>
      <c r="AA180" s="67">
        <f ca="1">SQRT(X180^2/(X180^2+Y180))</f>
        <v>0.74117906421374191</v>
      </c>
      <c r="AC180" t="s">
        <v>361</v>
      </c>
      <c r="AD180" s="74">
        <f ca="1">SUMPRODUCT(--ISNUMBER(D175:D194),--ISNUMBER(E175:E194),--(D175:D194&lt;&gt;E175:E194))</f>
        <v>16</v>
      </c>
    </row>
    <row r="181" spans="3:31" x14ac:dyDescent="0.3">
      <c r="C181" s="2" t="s">
        <v>292</v>
      </c>
      <c r="D181" s="37" cm="1">
        <f t="array" aca="1" ref="D181" ca="1">INDIRECT("'" &amp; C181 &amp; "'!$E$78")</f>
        <v>1</v>
      </c>
      <c r="E181" s="37" cm="1">
        <f t="array" aca="1" ref="E181" ca="1">INDIRECT("'" &amp; C181 &amp; "'!$F$78")</f>
        <v>6</v>
      </c>
      <c r="G181" t="s">
        <v>305</v>
      </c>
      <c r="H181">
        <f ca="1">_xlfn.STDEV.S(D174:D194)</f>
        <v>1.7861904127153381</v>
      </c>
      <c r="M181" t="s">
        <v>305</v>
      </c>
      <c r="N181">
        <f ca="1">_xlfn.STDEV.S(E174:E194)</f>
        <v>1.6733200530681511</v>
      </c>
      <c r="AC181" t="s">
        <v>362</v>
      </c>
      <c r="AD181" s="74">
        <f ca="1">IF(AD183&lt;=AD186,AD183,AD180*(AD180+1)/2)</f>
        <v>3</v>
      </c>
    </row>
    <row r="182" spans="3:31" ht="15" thickBot="1" x14ac:dyDescent="0.35">
      <c r="C182" s="2" t="s">
        <v>293</v>
      </c>
      <c r="D182" s="37" cm="1">
        <f t="array" aca="1" ref="D182" ca="1">INDIRECT("'" &amp; C182 &amp; "'!$E$78")</f>
        <v>1</v>
      </c>
      <c r="E182" s="37" cm="1">
        <f t="array" aca="1" ref="E182" ca="1">INDIRECT("'" &amp; C182 &amp; "'!$F$78")</f>
        <v>5</v>
      </c>
      <c r="G182" t="s">
        <v>306</v>
      </c>
      <c r="H182">
        <f ca="1">_xlfn.VAR.S(D174:D194)</f>
        <v>3.1904761904761898</v>
      </c>
      <c r="J182" t="s">
        <v>336</v>
      </c>
      <c r="M182" t="s">
        <v>306</v>
      </c>
      <c r="N182">
        <f ca="1">_xlfn.VAR.S(E174:E194)</f>
        <v>2.8</v>
      </c>
      <c r="P182" t="s">
        <v>336</v>
      </c>
      <c r="S182" t="s">
        <v>350</v>
      </c>
      <c r="AC182" t="s">
        <v>363</v>
      </c>
      <c r="AD182" s="74">
        <f ca="1">AD180*(AD180+1)/2-AD181</f>
        <v>133</v>
      </c>
    </row>
    <row r="183" spans="3:31" ht="15" thickTop="1" x14ac:dyDescent="0.3">
      <c r="C183" s="2" t="s">
        <v>294</v>
      </c>
      <c r="D183" s="37" cm="1">
        <f t="array" aca="1" ref="D183" ca="1">INDIRECT("'" &amp; C183 &amp; "'!$E$78")</f>
        <v>2</v>
      </c>
      <c r="E183" s="37" cm="1">
        <f t="array" aca="1" ref="E183" ca="1">INDIRECT("'" &amp; C183 &amp; "'!$F$78")</f>
        <v>7</v>
      </c>
      <c r="G183" t="s">
        <v>307</v>
      </c>
      <c r="H183">
        <f ca="1">KURT(D174:D194)</f>
        <v>-0.11232369183149293</v>
      </c>
      <c r="M183" t="s">
        <v>307</v>
      </c>
      <c r="N183">
        <f ca="1">KURT(E174:E194)</f>
        <v>0.69548872180451093</v>
      </c>
      <c r="S183" s="68" t="s">
        <v>351</v>
      </c>
      <c r="T183" s="68" t="s">
        <v>333</v>
      </c>
      <c r="U183" s="68" t="s">
        <v>352</v>
      </c>
      <c r="V183" s="68" t="s">
        <v>353</v>
      </c>
      <c r="W183" s="68" t="s">
        <v>354</v>
      </c>
      <c r="X183" s="68" t="s">
        <v>355</v>
      </c>
      <c r="AC183" t="s">
        <v>364</v>
      </c>
      <c r="AD183" s="75">
        <f ca="1">[1]!SRANK(D175:D194,E175:E194)</f>
        <v>3</v>
      </c>
    </row>
    <row r="184" spans="3:31" x14ac:dyDescent="0.3">
      <c r="C184" s="2" t="s">
        <v>295</v>
      </c>
      <c r="D184" s="37" cm="1">
        <f t="array" aca="1" ref="D184" ca="1">INDIRECT("'" &amp; C184 &amp; "'!$E$78")</f>
        <v>7</v>
      </c>
      <c r="E184" s="37" cm="1">
        <f t="array" aca="1" ref="E184" ca="1">INDIRECT("'" &amp; C184 &amp; "'!$F$78")</f>
        <v>7</v>
      </c>
      <c r="G184" t="s">
        <v>308</v>
      </c>
      <c r="H184">
        <f ca="1">SKEW(D174:D194)</f>
        <v>0.79760037498108038</v>
      </c>
      <c r="J184" s="67" t="s">
        <v>337</v>
      </c>
      <c r="K184" s="67">
        <f ca="1">[1]!DAGOSTINO(D174:D194)</f>
        <v>2.5948566458730755</v>
      </c>
      <c r="M184" t="s">
        <v>308</v>
      </c>
      <c r="N184">
        <f ca="1">SKEW(E174:E194)</f>
        <v>-0.9907816103692999</v>
      </c>
      <c r="P184" s="67" t="s">
        <v>337</v>
      </c>
      <c r="Q184" s="67">
        <f ca="1">[1]!DAGOSTINO(E174:E194)</f>
        <v>4.6069003420561714</v>
      </c>
      <c r="S184" t="s">
        <v>356</v>
      </c>
      <c r="T184">
        <f ca="1">_xlfn.T.DIST.RT(ABS(X180),Y180)</f>
        <v>6.0496287492921062E-5</v>
      </c>
      <c r="U184">
        <f ca="1">_xlfn.T.INV.2T(W176*2,Y180)</f>
        <v>1.7291328115213698</v>
      </c>
      <c r="X184" s="70" t="str">
        <f ca="1">IF(T184&lt;W176,"yes","no")</f>
        <v>yes</v>
      </c>
    </row>
    <row r="185" spans="3:31" x14ac:dyDescent="0.3">
      <c r="C185" s="2" t="s">
        <v>296</v>
      </c>
      <c r="D185" s="37" cm="1">
        <f t="array" aca="1" ref="D185" ca="1">INDIRECT("'" &amp; C185 &amp; "'!$E$78")</f>
        <v>5</v>
      </c>
      <c r="E185" s="37" cm="1">
        <f t="array" aca="1" ref="E185" ca="1">INDIRECT("'" &amp; C185 &amp; "'!$F$78")</f>
        <v>6</v>
      </c>
      <c r="G185" t="s">
        <v>309</v>
      </c>
      <c r="H185">
        <f ca="1">H186-H187</f>
        <v>6</v>
      </c>
      <c r="J185" t="s">
        <v>333</v>
      </c>
      <c r="K185">
        <f ca="1">[1]!DPTEST(D174:D194)</f>
        <v>0.27323355876587874</v>
      </c>
      <c r="M185" t="s">
        <v>309</v>
      </c>
      <c r="N185">
        <f ca="1">N186-N187</f>
        <v>6</v>
      </c>
      <c r="P185" t="s">
        <v>333</v>
      </c>
      <c r="Q185">
        <f ca="1">[1]!DPTEST(E174:E194)</f>
        <v>9.9913529603808726E-2</v>
      </c>
      <c r="S185" t="s">
        <v>357</v>
      </c>
      <c r="T185">
        <f ca="1">_xlfn.T.DIST.2T(ABS(X180),Y180)</f>
        <v>1.2099257498584212E-4</v>
      </c>
      <c r="U185">
        <f ca="1">_xlfn.T.INV.2T(W176,Y180)</f>
        <v>2.0930240544083096</v>
      </c>
      <c r="V185">
        <f ca="1">(U178-U179)-W180*U185</f>
        <v>-2.9415579080379137</v>
      </c>
      <c r="W185">
        <f ca="1">(U178-U179)+W180*U185</f>
        <v>-1.1584420919620861</v>
      </c>
      <c r="X185" s="70" t="str">
        <f ca="1">IF(T185&lt;W176,"yes","no")</f>
        <v>yes</v>
      </c>
      <c r="AD185" s="70" t="s">
        <v>365</v>
      </c>
      <c r="AE185" s="70" t="s">
        <v>366</v>
      </c>
    </row>
    <row r="186" spans="3:31" x14ac:dyDescent="0.3">
      <c r="C186" s="2" t="s">
        <v>297</v>
      </c>
      <c r="D186" s="37" cm="1">
        <f t="array" aca="1" ref="D186" ca="1">INDIRECT("'" &amp; C186 &amp; "'!$E$78")</f>
        <v>3</v>
      </c>
      <c r="E186" s="37" cm="1">
        <f t="array" aca="1" ref="E186" ca="1">INDIRECT("'" &amp; C186 &amp; "'!$F$78")</f>
        <v>5</v>
      </c>
      <c r="G186" t="s">
        <v>310</v>
      </c>
      <c r="H186" s="65">
        <f ca="1">MAX(D174:D194)</f>
        <v>7</v>
      </c>
      <c r="J186" t="s">
        <v>334</v>
      </c>
      <c r="K186">
        <v>0.05</v>
      </c>
      <c r="M186" t="s">
        <v>310</v>
      </c>
      <c r="N186" s="65">
        <f ca="1">MAX(E174:E194)</f>
        <v>7</v>
      </c>
      <c r="P186" t="s">
        <v>334</v>
      </c>
      <c r="Q186">
        <v>0.05</v>
      </c>
      <c r="S186" s="67"/>
      <c r="T186" s="67"/>
      <c r="U186" s="67"/>
      <c r="V186" s="67"/>
      <c r="W186" s="67"/>
      <c r="X186" s="67"/>
      <c r="AC186" t="s">
        <v>367</v>
      </c>
      <c r="AD186" s="73">
        <f ca="1">AD180*(AD180+1)/4</f>
        <v>68</v>
      </c>
    </row>
    <row r="187" spans="3:31" x14ac:dyDescent="0.3">
      <c r="C187" s="2" t="s">
        <v>298</v>
      </c>
      <c r="D187" s="37" cm="1">
        <f t="array" aca="1" ref="D187" ca="1">INDIRECT("'" &amp; C187 &amp; "'!$E$78")</f>
        <v>1</v>
      </c>
      <c r="E187" s="37" cm="1">
        <f t="array" aca="1" ref="E187" ca="1">INDIRECT("'" &amp; C187 &amp; "'!$F$78")</f>
        <v>1</v>
      </c>
      <c r="G187" t="s">
        <v>311</v>
      </c>
      <c r="H187" s="65">
        <f ca="1">MIN(D174:D194)</f>
        <v>1</v>
      </c>
      <c r="J187" s="63" t="s">
        <v>335</v>
      </c>
      <c r="K187" s="66" t="str">
        <f ca="1">IF(K185&lt;K186,"no","yes")</f>
        <v>yes</v>
      </c>
      <c r="M187" t="s">
        <v>311</v>
      </c>
      <c r="N187" s="65">
        <f ca="1">MIN(E174:E194)</f>
        <v>1</v>
      </c>
      <c r="P187" s="63" t="s">
        <v>335</v>
      </c>
      <c r="Q187" s="66" t="str">
        <f ca="1">IF(Q185&lt;Q186,"no","yes")</f>
        <v>yes</v>
      </c>
      <c r="AC187" t="s">
        <v>368</v>
      </c>
      <c r="AD187" s="74">
        <f ca="1">SQRT(AD186*(2*AD180+1)/6-[1]!TiesCorrection(D175:D194,E175:E194,1)/48)</f>
        <v>19.215878850575635</v>
      </c>
      <c r="AE187" t="s">
        <v>369</v>
      </c>
    </row>
    <row r="188" spans="3:31" x14ac:dyDescent="0.3">
      <c r="C188" s="2" t="s">
        <v>299</v>
      </c>
      <c r="D188" s="37" cm="1">
        <f t="array" aca="1" ref="D188" ca="1">INDIRECT("'" &amp; C188 &amp; "'!$E$78")</f>
        <v>3</v>
      </c>
      <c r="E188" s="37" cm="1">
        <f t="array" aca="1" ref="E188" ca="1">INDIRECT("'" &amp; C188 &amp; "'!$F$78")</f>
        <v>4</v>
      </c>
      <c r="G188" t="s">
        <v>312</v>
      </c>
      <c r="H188" s="65">
        <f ca="1">SUM(D174:D194)</f>
        <v>61</v>
      </c>
      <c r="M188" t="s">
        <v>312</v>
      </c>
      <c r="N188" s="65">
        <f ca="1">SUM(E174:E194)</f>
        <v>105</v>
      </c>
      <c r="AC188" t="s">
        <v>370</v>
      </c>
      <c r="AD188" s="74">
        <f ca="1">ABS(ABS(AD183-AD186)-1/2)/AD187</f>
        <v>3.3565990138446269</v>
      </c>
      <c r="AE188" t="s">
        <v>371</v>
      </c>
    </row>
    <row r="189" spans="3:31" x14ac:dyDescent="0.3">
      <c r="C189" s="2" t="s">
        <v>395</v>
      </c>
      <c r="D189" s="37" cm="1">
        <f t="array" aca="1" ref="D189" ca="1">INDIRECT("'" &amp; C189 &amp; "'!$E$78")</f>
        <v>5</v>
      </c>
      <c r="E189" s="37" cm="1">
        <f t="array" aca="1" ref="E189" ca="1">INDIRECT("'" &amp; C189 &amp; "'!$F$78")</f>
        <v>5</v>
      </c>
      <c r="G189" t="s">
        <v>313</v>
      </c>
      <c r="H189">
        <f ca="1">COUNT(D174:D194)</f>
        <v>21</v>
      </c>
      <c r="M189" t="s">
        <v>313</v>
      </c>
      <c r="N189">
        <f ca="1">COUNT(E174:E194)</f>
        <v>21</v>
      </c>
      <c r="AC189" t="s">
        <v>372</v>
      </c>
      <c r="AD189" s="74">
        <f ca="1">AD188/SQRT(AD180)</f>
        <v>0.83914975346115672</v>
      </c>
    </row>
    <row r="190" spans="3:31" x14ac:dyDescent="0.3">
      <c r="C190" s="2" t="s">
        <v>396</v>
      </c>
      <c r="D190" s="37" cm="1">
        <f t="array" aca="1" ref="D190" ca="1">INDIRECT("'" &amp; C190 &amp; "'!$E$78")</f>
        <v>1</v>
      </c>
      <c r="E190" s="37" cm="1">
        <f t="array" aca="1" ref="E190" ca="1">INDIRECT("'" &amp; C190 &amp; "'!$F$78")</f>
        <v>5</v>
      </c>
      <c r="G190" t="s">
        <v>314</v>
      </c>
      <c r="H190">
        <f ca="1">GEOMEAN(D174:D194)</f>
        <v>2.394391413156419</v>
      </c>
      <c r="M190" t="s">
        <v>314</v>
      </c>
      <c r="N190">
        <f ca="1">GEOMEAN(E174:E194)</f>
        <v>4.5864134100227263</v>
      </c>
      <c r="AC190" t="s">
        <v>373</v>
      </c>
      <c r="AD190" s="73">
        <f ca="1">1-_xlfn.NORM.S.DIST(AD188,TRUE)</f>
        <v>3.9453730762883943E-4</v>
      </c>
      <c r="AE190" s="76">
        <f ca="1">2*AD190</f>
        <v>7.8907461525767886E-4</v>
      </c>
    </row>
    <row r="191" spans="3:31" x14ac:dyDescent="0.3">
      <c r="C191" s="2" t="s">
        <v>397</v>
      </c>
      <c r="D191" s="37" cm="1">
        <f t="array" aca="1" ref="D191" ca="1">INDIRECT("'" &amp; C191 &amp; "'!$E$78")</f>
        <v>5</v>
      </c>
      <c r="E191" s="37" cm="1">
        <f t="array" aca="1" ref="E191" ca="1">INDIRECT("'" &amp; C191 &amp; "'!$F$78")</f>
        <v>7</v>
      </c>
      <c r="G191" t="s">
        <v>315</v>
      </c>
      <c r="H191">
        <f ca="1">HARMEAN(D174:D194)</f>
        <v>1.9547872340425532</v>
      </c>
      <c r="M191" t="s">
        <v>315</v>
      </c>
      <c r="N191">
        <f ca="1">HARMEAN(E174:E194)</f>
        <v>3.9339875111507583</v>
      </c>
      <c r="AC191" t="s">
        <v>374</v>
      </c>
      <c r="AD191" s="74">
        <f ca="1">[1]!SRDIST(AD183,AD180,1)</f>
        <v>7.62939453125E-5</v>
      </c>
      <c r="AE191" s="77">
        <f ca="1">2*AD191</f>
        <v>1.52587890625E-4</v>
      </c>
    </row>
    <row r="192" spans="3:31" x14ac:dyDescent="0.3">
      <c r="C192" s="2" t="s">
        <v>398</v>
      </c>
      <c r="D192" s="37" cm="1">
        <f t="array" aca="1" ref="D192" ca="1">INDIRECT("'" &amp; C192 &amp; "'!$E$78")</f>
        <v>3</v>
      </c>
      <c r="E192" s="37" cm="1">
        <f t="array" aca="1" ref="E192" ca="1">INDIRECT("'" &amp; C192 &amp; "'!$F$78")</f>
        <v>2</v>
      </c>
      <c r="G192" t="s">
        <v>316</v>
      </c>
      <c r="H192">
        <f ca="1">AVEDEV(D174:D194)</f>
        <v>1.346938775510204</v>
      </c>
      <c r="M192" t="s">
        <v>316</v>
      </c>
      <c r="N192">
        <f ca="1">AVEDEV(E174:E194)</f>
        <v>1.1428571428571428</v>
      </c>
      <c r="AC192" t="s">
        <v>375</v>
      </c>
      <c r="AD192" s="75" t="s">
        <v>376</v>
      </c>
      <c r="AE192" s="78" t="s">
        <v>376</v>
      </c>
    </row>
    <row r="193" spans="3:14" x14ac:dyDescent="0.3">
      <c r="C193" s="2" t="s">
        <v>399</v>
      </c>
      <c r="D193" s="37" cm="1">
        <f t="array" aca="1" ref="D193" ca="1">INDIRECT("'" &amp; C193 &amp; "'!$E$78")</f>
        <v>6</v>
      </c>
      <c r="E193" s="37" cm="1">
        <f t="array" aca="1" ref="E193" ca="1">INDIRECT("'" &amp; C193 &amp; "'!$F$78")</f>
        <v>7</v>
      </c>
      <c r="G193" t="s">
        <v>317</v>
      </c>
      <c r="H193">
        <f ca="1">[1]!MAD(D174:D194)</f>
        <v>2</v>
      </c>
      <c r="M193" t="s">
        <v>317</v>
      </c>
      <c r="N193">
        <f ca="1">[1]!MAD(E174:E194)</f>
        <v>1</v>
      </c>
    </row>
    <row r="194" spans="3:14" x14ac:dyDescent="0.3">
      <c r="C194" s="2" t="s">
        <v>400</v>
      </c>
      <c r="D194" s="37" cm="1">
        <f t="array" aca="1" ref="D194" ca="1">INDIRECT("'" &amp; C194 &amp; "'!$E$78")</f>
        <v>3</v>
      </c>
      <c r="E194" s="37" cm="1">
        <f t="array" aca="1" ref="E194" ca="1">INDIRECT("'" &amp; C194 &amp; "'!$F$78")</f>
        <v>4</v>
      </c>
      <c r="G194" s="63" t="s">
        <v>318</v>
      </c>
      <c r="H194" s="63">
        <f ca="1">[1]!IQR(D174:D194,FALSE)</f>
        <v>2</v>
      </c>
      <c r="M194" s="63" t="s">
        <v>318</v>
      </c>
      <c r="N194" s="63">
        <f ca="1">[1]!IQR(E174:E194,FALSE)</f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1A406-FF2B-4CDE-A991-9E6D5363D5E8}">
  <sheetPr>
    <tabColor theme="7" tint="0.59999389629810485"/>
  </sheetPr>
  <dimension ref="C4:AE158"/>
  <sheetViews>
    <sheetView showGridLines="0" topLeftCell="I1" zoomScale="62" zoomScaleNormal="145" workbookViewId="0">
      <selection activeCell="U21" sqref="U21:Y23"/>
    </sheetView>
  </sheetViews>
  <sheetFormatPr defaultRowHeight="14.4" x14ac:dyDescent="0.3"/>
  <cols>
    <col min="3" max="3" width="8.6640625" bestFit="1" customWidth="1"/>
    <col min="4" max="4" width="9.33203125" customWidth="1"/>
    <col min="5" max="5" width="7.77734375" customWidth="1"/>
    <col min="8" max="8" width="9" bestFit="1" customWidth="1"/>
    <col min="11" max="11" width="13.6640625" bestFit="1" customWidth="1"/>
    <col min="14" max="14" width="9" bestFit="1" customWidth="1"/>
    <col min="17" max="17" width="9" bestFit="1" customWidth="1"/>
    <col min="20" max="27" width="9" bestFit="1" customWidth="1"/>
    <col min="30" max="31" width="9" bestFit="1" customWidth="1"/>
  </cols>
  <sheetData>
    <row r="4" spans="3:31" x14ac:dyDescent="0.3">
      <c r="C4" s="2"/>
      <c r="D4" s="82" t="s">
        <v>409</v>
      </c>
      <c r="E4" s="83"/>
    </row>
    <row r="5" spans="3:31" x14ac:dyDescent="0.3">
      <c r="C5" s="2"/>
      <c r="D5" s="2" t="s">
        <v>430</v>
      </c>
      <c r="E5" s="2" t="s">
        <v>431</v>
      </c>
    </row>
    <row r="6" spans="3:31" x14ac:dyDescent="0.3">
      <c r="C6" s="2" t="s">
        <v>285</v>
      </c>
      <c r="D6" s="37" cm="1">
        <f t="array" aca="1" ref="D6" ca="1">INDIRECT("'" &amp; C6 &amp; "'!$L$91")</f>
        <v>6</v>
      </c>
      <c r="E6" s="37" cm="1">
        <f t="array" aca="1" ref="E6" ca="1">INDIRECT("'" &amp; C6 &amp; "'!$M$91")</f>
        <v>4.5999999999999996</v>
      </c>
      <c r="G6" t="s">
        <v>300</v>
      </c>
      <c r="J6" t="s">
        <v>331</v>
      </c>
      <c r="M6" t="s">
        <v>300</v>
      </c>
      <c r="P6" t="s">
        <v>331</v>
      </c>
      <c r="S6" t="s">
        <v>338</v>
      </c>
      <c r="AC6" t="s">
        <v>358</v>
      </c>
    </row>
    <row r="7" spans="3:31" x14ac:dyDescent="0.3">
      <c r="C7" s="2" t="s">
        <v>286</v>
      </c>
      <c r="D7" s="37" cm="1">
        <f t="array" aca="1" ref="D7" ca="1">INDIRECT("'" &amp; C7 &amp; "'!$L$126")</f>
        <v>4.333333333333333</v>
      </c>
      <c r="E7" s="37" cm="1">
        <f t="array" aca="1" ref="E7" ca="1">INDIRECT("'" &amp; C7 &amp; "'!$M$91")</f>
        <v>3.6</v>
      </c>
    </row>
    <row r="8" spans="3:31" ht="15" thickBot="1" x14ac:dyDescent="0.35">
      <c r="C8" s="2" t="s">
        <v>287</v>
      </c>
      <c r="D8" s="37" cm="1">
        <f t="array" aca="1" ref="D8" ca="1">INDIRECT("'" &amp; C8 &amp; "'!$L$126")</f>
        <v>4.333333333333333</v>
      </c>
      <c r="E8" s="37" cm="1">
        <f t="array" aca="1" ref="E8" ca="1">INDIRECT("'" &amp; C8 &amp; "'!$M$91")</f>
        <v>6.4</v>
      </c>
      <c r="F8" s="79"/>
      <c r="G8" s="64"/>
      <c r="H8" s="64" t="s">
        <v>379</v>
      </c>
      <c r="I8" s="79"/>
      <c r="J8" s="64"/>
      <c r="K8" s="64" t="s">
        <v>379</v>
      </c>
      <c r="M8" s="64"/>
      <c r="N8" s="64" t="s">
        <v>379</v>
      </c>
      <c r="P8" s="64"/>
      <c r="Q8" s="64" t="s">
        <v>379</v>
      </c>
      <c r="S8" t="s">
        <v>339</v>
      </c>
      <c r="V8" t="s">
        <v>340</v>
      </c>
      <c r="W8">
        <v>0.05</v>
      </c>
      <c r="Y8" t="s">
        <v>341</v>
      </c>
      <c r="Z8">
        <v>0</v>
      </c>
      <c r="AD8" t="s">
        <v>381</v>
      </c>
      <c r="AE8" t="s">
        <v>382</v>
      </c>
    </row>
    <row r="9" spans="3:31" ht="15" thickTop="1" x14ac:dyDescent="0.3">
      <c r="C9" s="2" t="s">
        <v>288</v>
      </c>
      <c r="D9" s="37" cm="1">
        <f t="array" aca="1" ref="D9" ca="1">INDIRECT("'" &amp; C9 &amp; "'!$L$126")</f>
        <v>5</v>
      </c>
      <c r="E9" s="37" cm="1">
        <f t="array" aca="1" ref="E9" ca="1">INDIRECT("'" &amp; C9 &amp; "'!$M$91")</f>
        <v>6.4</v>
      </c>
      <c r="G9" s="65" t="s">
        <v>301</v>
      </c>
      <c r="H9" s="65">
        <f ca="1">AVERAGE(D6:D26)</f>
        <v>4.8730158730158726</v>
      </c>
      <c r="J9" t="s">
        <v>332</v>
      </c>
      <c r="K9">
        <f ca="1">[1]!SHAPIRO(D6:D26)</f>
        <v>0.92069759381991689</v>
      </c>
      <c r="M9" t="s">
        <v>301</v>
      </c>
      <c r="N9" s="65">
        <f ca="1">AVERAGE(E6:E26)</f>
        <v>5.2666666666666675</v>
      </c>
      <c r="P9" t="s">
        <v>332</v>
      </c>
      <c r="Q9">
        <f ca="1">[1]!SHAPIRO(E6:E26)</f>
        <v>0.96187111741464015</v>
      </c>
      <c r="S9" s="68" t="s">
        <v>342</v>
      </c>
      <c r="T9" s="68" t="s">
        <v>313</v>
      </c>
      <c r="U9" s="68" t="s">
        <v>301</v>
      </c>
      <c r="V9" s="68" t="s">
        <v>343</v>
      </c>
      <c r="W9" s="68" t="s">
        <v>344</v>
      </c>
      <c r="X9" s="68" t="s">
        <v>345</v>
      </c>
      <c r="Y9" s="68" t="s">
        <v>346</v>
      </c>
      <c r="Z9" s="68" t="s">
        <v>347</v>
      </c>
      <c r="AA9" s="68" t="s">
        <v>348</v>
      </c>
      <c r="AC9" t="s">
        <v>359</v>
      </c>
      <c r="AD9" s="102">
        <f ca="1">MEDIAN(D6:D26)</f>
        <v>4.666666666666667</v>
      </c>
      <c r="AE9" s="103">
        <f ca="1">MEDIAN(E6:E26)</f>
        <v>5.2</v>
      </c>
    </row>
    <row r="10" spans="3:31" x14ac:dyDescent="0.3">
      <c r="C10" s="2" t="s">
        <v>289</v>
      </c>
      <c r="D10" s="37" cm="1">
        <f t="array" aca="1" ref="D10" ca="1">INDIRECT("'" &amp; C10 &amp; "'!$L$126")</f>
        <v>4.666666666666667</v>
      </c>
      <c r="E10" s="37" cm="1">
        <f t="array" aca="1" ref="E10" ca="1">INDIRECT("'" &amp; C10 &amp; "'!$M$91")</f>
        <v>5.2</v>
      </c>
      <c r="G10" t="s">
        <v>302</v>
      </c>
      <c r="H10">
        <f ca="1">_xlfn.STDEV.S(D6:D26)/SQRT(COUNT(D6:D26))</f>
        <v>0.12057224771322556</v>
      </c>
      <c r="J10" t="s">
        <v>333</v>
      </c>
      <c r="K10">
        <f ca="1">[1]!SWTEST(D6:D26)</f>
        <v>8.960737512969863E-2</v>
      </c>
      <c r="M10" t="s">
        <v>302</v>
      </c>
      <c r="N10">
        <f ca="1">_xlfn.STDEV.S(E6:E26)/SQRT(COUNT(E6:E26))</f>
        <v>0.14692617733849012</v>
      </c>
      <c r="P10" t="s">
        <v>333</v>
      </c>
      <c r="Q10">
        <f ca="1">[1]!SWTEST(E6:E26)</f>
        <v>0.55459589460667935</v>
      </c>
      <c r="S10" t="s">
        <v>379</v>
      </c>
      <c r="T10">
        <f ca="1">COUNT(D6:D26)</f>
        <v>21</v>
      </c>
      <c r="U10" s="65">
        <f ca="1">AVERAGE(D6:D26)</f>
        <v>4.8730158730158726</v>
      </c>
      <c r="V10">
        <f ca="1">_xlfn.STDEV.S(D6:D26)</f>
        <v>0.55253145185682229</v>
      </c>
    </row>
    <row r="11" spans="3:31" x14ac:dyDescent="0.3">
      <c r="C11" s="2" t="s">
        <v>290</v>
      </c>
      <c r="D11" s="37" cm="1">
        <f t="array" aca="1" ref="D11" ca="1">INDIRECT("'" &amp; C11 &amp; "'!$L$126")</f>
        <v>4.333333333333333</v>
      </c>
      <c r="E11" s="37" cm="1">
        <f t="array" aca="1" ref="E11" ca="1">INDIRECT("'" &amp; C11 &amp; "'!$M$91")</f>
        <v>5</v>
      </c>
      <c r="G11" s="65" t="s">
        <v>303</v>
      </c>
      <c r="H11" s="65">
        <f ca="1">MEDIAN(D6:D26)</f>
        <v>4.666666666666667</v>
      </c>
      <c r="J11" t="s">
        <v>334</v>
      </c>
      <c r="K11">
        <v>0.05</v>
      </c>
      <c r="M11" t="s">
        <v>303</v>
      </c>
      <c r="N11" s="65">
        <f ca="1">MEDIAN(E6:E26)</f>
        <v>5.2</v>
      </c>
      <c r="P11" t="s">
        <v>334</v>
      </c>
      <c r="Q11">
        <v>0.05</v>
      </c>
      <c r="S11" t="s">
        <v>380</v>
      </c>
      <c r="T11">
        <f ca="1">COUNT(E6:E26)</f>
        <v>21</v>
      </c>
      <c r="U11" s="65">
        <f ca="1">AVERAGE(E6:E26)</f>
        <v>5.2666666666666675</v>
      </c>
      <c r="V11">
        <f ca="1">_xlfn.STDEV.S(E6:E26)</f>
        <v>0.6733003292241363</v>
      </c>
      <c r="AC11" t="s">
        <v>360</v>
      </c>
      <c r="AD11" s="88">
        <f ca="1">SUMPRODUCT(--ISNUMBER(D6:D26),--ISNUMBER(E6:E26))</f>
        <v>21</v>
      </c>
    </row>
    <row r="12" spans="3:31" x14ac:dyDescent="0.3">
      <c r="C12" s="2" t="s">
        <v>291</v>
      </c>
      <c r="D12" s="37" cm="1">
        <f t="array" aca="1" ref="D12" ca="1">INDIRECT("'" &amp; C12 &amp; "'!$L$126")</f>
        <v>5.666666666666667</v>
      </c>
      <c r="E12" s="37" cm="1">
        <f t="array" aca="1" ref="E12" ca="1">INDIRECT("'" &amp; C12 &amp; "'!$M$91")</f>
        <v>6</v>
      </c>
      <c r="G12" t="s">
        <v>304</v>
      </c>
      <c r="H12">
        <f ca="1">MODE(D6:D26)</f>
        <v>4.333333333333333</v>
      </c>
      <c r="J12" s="66" t="s">
        <v>335</v>
      </c>
      <c r="K12" s="66" t="str">
        <f ca="1">IF(K10&lt;K11,"no","yes")</f>
        <v>yes</v>
      </c>
      <c r="M12" t="s">
        <v>304</v>
      </c>
      <c r="N12">
        <f ca="1">MODE(E6:E26)</f>
        <v>5</v>
      </c>
      <c r="P12" s="63" t="s">
        <v>335</v>
      </c>
      <c r="Q12" s="66" t="str">
        <f ca="1">IF(Q10&lt;Q11,"no","yes")</f>
        <v>yes</v>
      </c>
      <c r="S12" s="85" t="s">
        <v>349</v>
      </c>
      <c r="T12" s="85">
        <f ca="1">T11</f>
        <v>21</v>
      </c>
      <c r="U12" s="100">
        <f ca="1">U10-U11</f>
        <v>-0.39365079365079492</v>
      </c>
      <c r="V12" s="85">
        <f t="array" aca="1" ref="V12" ca="1">_xlfn.STDEV.S(D6:D26-E6:E26)</f>
        <v>0.85294385953193175</v>
      </c>
      <c r="W12" s="85">
        <f ca="1">V12/SQRT(T12)</f>
        <v>0.18612760951680279</v>
      </c>
      <c r="X12" s="85">
        <f ca="1">(U10-U11-Z8)/W12</f>
        <v>-2.1149511062476618</v>
      </c>
      <c r="Y12" s="85">
        <f ca="1">T12-1</f>
        <v>20</v>
      </c>
      <c r="Z12" s="85">
        <f ca="1">ABS(U10-U11-Z8)/V12</f>
        <v>0.46152016835764298</v>
      </c>
      <c r="AA12" s="85">
        <f ca="1">SQRT(X12^2/(X12^2+Y12))</f>
        <v>0.42752012684706547</v>
      </c>
      <c r="AC12" t="s">
        <v>361</v>
      </c>
      <c r="AD12" s="74">
        <f ca="1">SUMPRODUCT(--ISNUMBER(D6:D26),--ISNUMBER(E6:E26),--(D6:D26&lt;&gt;E6:E26))</f>
        <v>21</v>
      </c>
    </row>
    <row r="13" spans="3:31" x14ac:dyDescent="0.3">
      <c r="C13" s="2" t="s">
        <v>292</v>
      </c>
      <c r="D13" s="37" cm="1">
        <f t="array" aca="1" ref="D13" ca="1">INDIRECT("'" &amp; C13 &amp; "'!$L$126")</f>
        <v>5.333333333333333</v>
      </c>
      <c r="E13" s="37" cm="1">
        <f t="array" aca="1" ref="E13" ca="1">INDIRECT("'" &amp; C13 &amp; "'!$M$91")</f>
        <v>5.2</v>
      </c>
      <c r="G13" t="s">
        <v>305</v>
      </c>
      <c r="H13">
        <f ca="1">_xlfn.STDEV.S(D6:D26)</f>
        <v>0.55253145185682229</v>
      </c>
      <c r="M13" t="s">
        <v>305</v>
      </c>
      <c r="N13">
        <f ca="1">_xlfn.STDEV.S(E6:E26)</f>
        <v>0.6733003292241363</v>
      </c>
      <c r="AC13" t="s">
        <v>362</v>
      </c>
      <c r="AD13" s="74">
        <f ca="1">IF(AD15&lt;=AD18,AD15,AD12*(AD12+1)/2)</f>
        <v>58.5</v>
      </c>
    </row>
    <row r="14" spans="3:31" ht="15" thickBot="1" x14ac:dyDescent="0.35">
      <c r="C14" s="2" t="s">
        <v>293</v>
      </c>
      <c r="D14" s="37" cm="1">
        <f t="array" aca="1" ref="D14" ca="1">INDIRECT("'" &amp; C14 &amp; "'!$L$126")</f>
        <v>5</v>
      </c>
      <c r="E14" s="37" cm="1">
        <f t="array" aca="1" ref="E14" ca="1">INDIRECT("'" &amp; C14 &amp; "'!$M$91")</f>
        <v>4.5999999999999996</v>
      </c>
      <c r="G14" t="s">
        <v>306</v>
      </c>
      <c r="H14">
        <f ca="1">_xlfn.VAR.S(D6:D26)</f>
        <v>0.30529100529100789</v>
      </c>
      <c r="J14" t="s">
        <v>336</v>
      </c>
      <c r="M14" t="s">
        <v>306</v>
      </c>
      <c r="N14">
        <f ca="1">_xlfn.VAR.S(E6:E26)</f>
        <v>0.45333333333333031</v>
      </c>
      <c r="P14" t="s">
        <v>336</v>
      </c>
      <c r="S14" t="s">
        <v>350</v>
      </c>
      <c r="AC14" t="s">
        <v>363</v>
      </c>
      <c r="AD14" s="74">
        <f ca="1">AD12*(AD12+1)/2-AD13</f>
        <v>172.5</v>
      </c>
    </row>
    <row r="15" spans="3:31" ht="15" thickTop="1" x14ac:dyDescent="0.3">
      <c r="C15" s="2" t="s">
        <v>294</v>
      </c>
      <c r="D15" s="37" cm="1">
        <f t="array" aca="1" ref="D15" ca="1">INDIRECT("'" &amp; C15 &amp; "'!$L$126")</f>
        <v>5.333333333333333</v>
      </c>
      <c r="E15" s="37" cm="1">
        <f t="array" aca="1" ref="E15" ca="1">INDIRECT("'" &amp; C15 &amp; "'!$M$91")</f>
        <v>5.6</v>
      </c>
      <c r="G15" t="s">
        <v>307</v>
      </c>
      <c r="H15">
        <f ca="1">KURT(D6:D26)</f>
        <v>-8.2231852500237679E-2</v>
      </c>
      <c r="M15" t="s">
        <v>307</v>
      </c>
      <c r="N15">
        <f ca="1">KURT(E6:E26)</f>
        <v>0.66422327444910012</v>
      </c>
      <c r="S15" s="68" t="s">
        <v>351</v>
      </c>
      <c r="T15" s="68" t="s">
        <v>333</v>
      </c>
      <c r="U15" s="68" t="s">
        <v>352</v>
      </c>
      <c r="V15" s="68" t="s">
        <v>353</v>
      </c>
      <c r="W15" s="68" t="s">
        <v>354</v>
      </c>
      <c r="X15" s="68" t="s">
        <v>355</v>
      </c>
      <c r="AC15" t="s">
        <v>364</v>
      </c>
      <c r="AD15" s="75">
        <f ca="1">[1]!SRANK(D6:D26,E6:E26)</f>
        <v>58.5</v>
      </c>
    </row>
    <row r="16" spans="3:31" x14ac:dyDescent="0.3">
      <c r="C16" s="2" t="s">
        <v>295</v>
      </c>
      <c r="D16" s="37" cm="1">
        <f t="array" aca="1" ref="D16" ca="1">INDIRECT("'" &amp; C16 &amp; "'!$L$126")</f>
        <v>4.666666666666667</v>
      </c>
      <c r="E16" s="37" cm="1">
        <f t="array" aca="1" ref="E16" ca="1">INDIRECT("'" &amp; C16 &amp; "'!$M$91")</f>
        <v>5</v>
      </c>
      <c r="G16" t="s">
        <v>308</v>
      </c>
      <c r="H16">
        <f ca="1">SKEW(D6:D26)</f>
        <v>0.67905896373753538</v>
      </c>
      <c r="J16" s="85" t="s">
        <v>337</v>
      </c>
      <c r="K16" s="85">
        <f ca="1">[1]!DAGOSTINO(D6:D26)</f>
        <v>1.9419023938923696</v>
      </c>
      <c r="M16" t="s">
        <v>308</v>
      </c>
      <c r="N16">
        <f ca="1">SKEW(E6:E26)</f>
        <v>-0.36275266098497194</v>
      </c>
      <c r="P16" s="85" t="s">
        <v>337</v>
      </c>
      <c r="Q16" s="85">
        <f ca="1">[1]!DAGOSTINO(E6:E26)</f>
        <v>1.3381474398740696</v>
      </c>
      <c r="S16" t="s">
        <v>356</v>
      </c>
      <c r="T16">
        <f ca="1">_xlfn.T.DIST.RT(ABS(X12),Y12)</f>
        <v>2.3591578866497903E-2</v>
      </c>
      <c r="U16">
        <f ca="1">_xlfn.T.INV.2T(W8*2,Y12)</f>
        <v>1.7247182429207868</v>
      </c>
      <c r="X16" s="70" t="str">
        <f ca="1">IF(T16&lt;W8,"yes","no")</f>
        <v>yes</v>
      </c>
    </row>
    <row r="17" spans="3:31" x14ac:dyDescent="0.3">
      <c r="C17" s="2" t="s">
        <v>296</v>
      </c>
      <c r="D17" s="37" cm="1">
        <f t="array" aca="1" ref="D17" ca="1">INDIRECT("'" &amp; C17 &amp; "'!$L$126")</f>
        <v>4.666666666666667</v>
      </c>
      <c r="E17" s="37" cm="1">
        <f t="array" aca="1" ref="E17" ca="1">INDIRECT("'" &amp; C17 &amp; "'!$M$91")</f>
        <v>5</v>
      </c>
      <c r="G17" t="s">
        <v>309</v>
      </c>
      <c r="H17">
        <f ca="1">H18-H19</f>
        <v>2</v>
      </c>
      <c r="J17" t="s">
        <v>333</v>
      </c>
      <c r="K17">
        <f ca="1">[1]!DPTEST(D6:D26)</f>
        <v>0.37872262691339031</v>
      </c>
      <c r="M17" t="s">
        <v>309</v>
      </c>
      <c r="N17">
        <f ca="1">N18-N19</f>
        <v>2.8000000000000003</v>
      </c>
      <c r="P17" t="s">
        <v>333</v>
      </c>
      <c r="Q17">
        <f ca="1">[1]!DPTEST(E6:E26)</f>
        <v>0.51218278282962748</v>
      </c>
      <c r="S17" t="s">
        <v>357</v>
      </c>
      <c r="T17">
        <f ca="1">_xlfn.T.DIST.2T(ABS(X12),Y12)</f>
        <v>4.7183157732995806E-2</v>
      </c>
      <c r="U17">
        <f ca="1">_xlfn.T.INV.2T(W8,Y12)</f>
        <v>2.0859634472658648</v>
      </c>
      <c r="V17">
        <f ca="1">(U10-U11)-W12*U17</f>
        <v>-0.78190618362981967</v>
      </c>
      <c r="W17">
        <f ca="1">(U10-U11)+W12*U17</f>
        <v>-5.3954036717701603E-3</v>
      </c>
      <c r="X17" s="70" t="str">
        <f ca="1">IF(T17&lt;W8,"yes","no")</f>
        <v>yes</v>
      </c>
      <c r="AD17" s="70" t="s">
        <v>365</v>
      </c>
      <c r="AE17" s="70" t="s">
        <v>366</v>
      </c>
    </row>
    <row r="18" spans="3:31" x14ac:dyDescent="0.3">
      <c r="C18" s="2" t="s">
        <v>297</v>
      </c>
      <c r="D18" s="37" cm="1">
        <f t="array" aca="1" ref="D18" ca="1">INDIRECT("'" &amp; C18 &amp; "'!$L$126")</f>
        <v>5</v>
      </c>
      <c r="E18" s="37" cm="1">
        <f t="array" aca="1" ref="E18" ca="1">INDIRECT("'" &amp; C18 &amp; "'!$M$91")</f>
        <v>5.2</v>
      </c>
      <c r="G18" s="65" t="s">
        <v>310</v>
      </c>
      <c r="H18" s="65">
        <f ca="1">MAX(D6:D26)</f>
        <v>6</v>
      </c>
      <c r="J18" t="s">
        <v>334</v>
      </c>
      <c r="K18">
        <v>0.05</v>
      </c>
      <c r="M18" t="s">
        <v>310</v>
      </c>
      <c r="N18" s="65">
        <f ca="1">MAX(E6:E26)</f>
        <v>6.4</v>
      </c>
      <c r="P18" t="s">
        <v>334</v>
      </c>
      <c r="Q18">
        <v>0.05</v>
      </c>
      <c r="S18" s="85"/>
      <c r="T18" s="85"/>
      <c r="U18" s="85"/>
      <c r="V18" s="85"/>
      <c r="W18" s="85"/>
      <c r="X18" s="85"/>
      <c r="AC18" t="s">
        <v>367</v>
      </c>
      <c r="AD18" s="88">
        <f ca="1">AD12*(AD12+1)/4</f>
        <v>115.5</v>
      </c>
    </row>
    <row r="19" spans="3:31" x14ac:dyDescent="0.3">
      <c r="C19" s="2" t="s">
        <v>298</v>
      </c>
      <c r="D19" s="37" cm="1">
        <f t="array" aca="1" ref="D19" ca="1">INDIRECT("'" &amp; C19 &amp; "'!$L$126")</f>
        <v>5</v>
      </c>
      <c r="E19" s="37" cm="1">
        <f t="array" aca="1" ref="E19" ca="1">INDIRECT("'" &amp; C19 &amp; "'!$M$91")</f>
        <v>5.4</v>
      </c>
      <c r="G19" s="65" t="s">
        <v>311</v>
      </c>
      <c r="H19" s="65">
        <f ca="1">MIN(D6:D26)</f>
        <v>4</v>
      </c>
      <c r="J19" s="66" t="s">
        <v>335</v>
      </c>
      <c r="K19" s="66" t="str">
        <f ca="1">IF(K17&lt;K18,"no","yes")</f>
        <v>yes</v>
      </c>
      <c r="M19" t="s">
        <v>311</v>
      </c>
      <c r="N19" s="65">
        <f ca="1">MIN(E6:E26)</f>
        <v>3.6</v>
      </c>
      <c r="P19" s="63" t="s">
        <v>335</v>
      </c>
      <c r="Q19" s="66" t="str">
        <f ca="1">IF(Q17&lt;Q18,"no","yes")</f>
        <v>yes</v>
      </c>
      <c r="AC19" t="s">
        <v>368</v>
      </c>
      <c r="AD19" s="74">
        <f ca="1">SQRT(AD18*(2*AD12+1)/6-[1]!TiesCorrection(D6:D26,E6:E26,1)/48)</f>
        <v>28.744564703609619</v>
      </c>
      <c r="AE19" t="s">
        <v>369</v>
      </c>
    </row>
    <row r="20" spans="3:31" x14ac:dyDescent="0.3">
      <c r="C20" s="2" t="s">
        <v>299</v>
      </c>
      <c r="D20" s="37" cm="1">
        <f t="array" aca="1" ref="D20" ca="1">INDIRECT("'" &amp; C20 &amp; "'!$L$126")</f>
        <v>4</v>
      </c>
      <c r="E20" s="37" cm="1">
        <f t="array" aca="1" ref="E20" ca="1">INDIRECT("'" &amp; C20 &amp; "'!$M$91")</f>
        <v>5</v>
      </c>
      <c r="G20" s="65" t="s">
        <v>312</v>
      </c>
      <c r="H20" s="65">
        <f ca="1">SUM(D6:D26)</f>
        <v>102.33333333333333</v>
      </c>
      <c r="M20" t="s">
        <v>312</v>
      </c>
      <c r="N20" s="65">
        <f ca="1">SUM(E6:E26)</f>
        <v>110.60000000000001</v>
      </c>
      <c r="AC20" t="s">
        <v>370</v>
      </c>
      <c r="AD20" s="74">
        <f ca="1">ABS(ABS(AD15-AD18)-1/2)/AD19</f>
        <v>1.965588993348192</v>
      </c>
      <c r="AE20" t="s">
        <v>371</v>
      </c>
    </row>
    <row r="21" spans="3:31" ht="15" thickBot="1" x14ac:dyDescent="0.35">
      <c r="C21" s="2" t="s">
        <v>395</v>
      </c>
      <c r="D21" s="37" cm="1">
        <f t="array" aca="1" ref="D21" ca="1">INDIRECT("'" &amp; C21 &amp; "'!$L$126")</f>
        <v>4.333333333333333</v>
      </c>
      <c r="E21" s="37" cm="1">
        <f t="array" aca="1" ref="E21" ca="1">INDIRECT("'" &amp; C21 &amp; "'!$M$91")</f>
        <v>5.6</v>
      </c>
      <c r="G21" t="s">
        <v>313</v>
      </c>
      <c r="H21">
        <f ca="1">COUNT(D6:D26)</f>
        <v>21</v>
      </c>
      <c r="M21" t="s">
        <v>313</v>
      </c>
      <c r="N21">
        <f ca="1">COUNT(E6:E26)</f>
        <v>21</v>
      </c>
      <c r="U21" s="150"/>
      <c r="V21" s="150" t="s">
        <v>301</v>
      </c>
      <c r="W21" s="151" t="s">
        <v>343</v>
      </c>
      <c r="X21" s="152" t="s">
        <v>333</v>
      </c>
      <c r="Y21" s="152" t="s">
        <v>348</v>
      </c>
      <c r="AC21" t="s">
        <v>372</v>
      </c>
      <c r="AD21" s="74">
        <f ca="1">AD20/SQRT(AD12)</f>
        <v>0.42892668319953053</v>
      </c>
    </row>
    <row r="22" spans="3:31" ht="15" thickBot="1" x14ac:dyDescent="0.35">
      <c r="C22" s="2" t="s">
        <v>396</v>
      </c>
      <c r="D22" s="37" cm="1">
        <f t="array" aca="1" ref="D22" ca="1">INDIRECT("'" &amp; C22 &amp; "'!$L$126")</f>
        <v>5</v>
      </c>
      <c r="E22" s="37" cm="1">
        <f t="array" aca="1" ref="E22" ca="1">INDIRECT("'" &amp; C22 &amp; "'!$M$91")</f>
        <v>6</v>
      </c>
      <c r="G22" t="s">
        <v>314</v>
      </c>
      <c r="H22">
        <f ca="1">GEOMEAN(D6:D26)</f>
        <v>4.8442099097090994</v>
      </c>
      <c r="M22" t="s">
        <v>314</v>
      </c>
      <c r="N22">
        <f ca="1">GEOMEAN(E6:E26)</f>
        <v>5.2234917505176321</v>
      </c>
      <c r="U22" s="150" t="s">
        <v>430</v>
      </c>
      <c r="V22" s="153">
        <v>4.8730158730158726</v>
      </c>
      <c r="W22" s="151">
        <v>0.55253145185682229</v>
      </c>
      <c r="X22" s="150"/>
      <c r="Y22" s="150"/>
      <c r="AC22" t="s">
        <v>373</v>
      </c>
      <c r="AD22" s="88">
        <f ca="1">1-_xlfn.NORM.S.DIST(AD20,TRUE)</f>
        <v>2.4673053271580869E-2</v>
      </c>
      <c r="AE22" s="104">
        <f ca="1">2*AD22</f>
        <v>4.9346106543161739E-2</v>
      </c>
    </row>
    <row r="23" spans="3:31" ht="15" thickBot="1" x14ac:dyDescent="0.35">
      <c r="C23" s="2" t="s">
        <v>397</v>
      </c>
      <c r="D23" s="37" cm="1">
        <f t="array" aca="1" ref="D23" ca="1">INDIRECT("'" &amp; C23 &amp; "'!$L$126")</f>
        <v>6</v>
      </c>
      <c r="E23" s="37" cm="1">
        <f t="array" aca="1" ref="E23" ca="1">INDIRECT("'" &amp; C23 &amp; "'!$M$91")</f>
        <v>5</v>
      </c>
      <c r="G23" t="s">
        <v>315</v>
      </c>
      <c r="H23">
        <f ca="1">HARMEAN(D6:D26)</f>
        <v>4.816426881474662</v>
      </c>
      <c r="M23" t="s">
        <v>315</v>
      </c>
      <c r="N23">
        <f ca="1">HARMEAN(E6:E26)</f>
        <v>5.1776388877226696</v>
      </c>
      <c r="U23" s="150" t="s">
        <v>431</v>
      </c>
      <c r="V23" s="153">
        <v>5.2666666666666675</v>
      </c>
      <c r="W23" s="151">
        <v>0.6733003292241363</v>
      </c>
      <c r="X23" s="150">
        <v>4.7183157732995806E-2</v>
      </c>
      <c r="Y23" s="150">
        <v>0.42752012684706547</v>
      </c>
      <c r="AC23" t="s">
        <v>374</v>
      </c>
      <c r="AD23" s="74">
        <f ca="1">[1]!SRDIST(AD15,AD12,1)</f>
        <v>2.2996425628662109E-2</v>
      </c>
      <c r="AE23" s="77">
        <f ca="1">2*AD23</f>
        <v>4.5992851257324219E-2</v>
      </c>
    </row>
    <row r="24" spans="3:31" x14ac:dyDescent="0.3">
      <c r="C24" s="2" t="s">
        <v>398</v>
      </c>
      <c r="D24" s="37" cm="1">
        <f t="array" aca="1" ref="D24" ca="1">INDIRECT("'" &amp; C24 &amp; "'!$L$126")</f>
        <v>4.666666666666667</v>
      </c>
      <c r="E24" s="37" cm="1">
        <f t="array" aca="1" ref="E24" ca="1">INDIRECT("'" &amp; C24 &amp; "'!$M$91")</f>
        <v>4.4000000000000004</v>
      </c>
      <c r="G24" t="s">
        <v>316</v>
      </c>
      <c r="H24">
        <f ca="1">AVEDEV(D6:D26)</f>
        <v>0.43839758125472406</v>
      </c>
      <c r="M24" t="s">
        <v>316</v>
      </c>
      <c r="N24">
        <f ca="1">AVEDEV(E6:E26)</f>
        <v>0.51428571428571435</v>
      </c>
      <c r="AC24" t="s">
        <v>375</v>
      </c>
      <c r="AD24" s="75" t="s">
        <v>376</v>
      </c>
      <c r="AE24" s="78" t="s">
        <v>376</v>
      </c>
    </row>
    <row r="25" spans="3:31" x14ac:dyDescent="0.3">
      <c r="C25" s="2" t="s">
        <v>399</v>
      </c>
      <c r="D25" s="37" cm="1">
        <f t="array" aca="1" ref="D25" ca="1">INDIRECT("'" &amp; C25 &amp; "'!$L$126")</f>
        <v>4.333333333333333</v>
      </c>
      <c r="E25" s="37" cm="1">
        <f t="array" aca="1" ref="E25" ca="1">INDIRECT("'" &amp; C25 &amp; "'!$M$91")</f>
        <v>5.6</v>
      </c>
      <c r="G25" t="s">
        <v>317</v>
      </c>
      <c r="H25">
        <f ca="1">[1]!MAD(D6:D26)</f>
        <v>0.33333333333333393</v>
      </c>
      <c r="M25" t="s">
        <v>317</v>
      </c>
      <c r="N25">
        <f ca="1">[1]!MAD(E6:E26)</f>
        <v>0.39999999999999947</v>
      </c>
    </row>
    <row r="26" spans="3:31" x14ac:dyDescent="0.3">
      <c r="C26" s="2" t="s">
        <v>400</v>
      </c>
      <c r="D26" s="37" cm="1">
        <f t="array" aca="1" ref="D26" ca="1">INDIRECT("'" &amp; C26 &amp; "'!$L$126")</f>
        <v>4.666666666666667</v>
      </c>
      <c r="E26" s="37" cm="1">
        <f t="array" aca="1" ref="E26" ca="1">INDIRECT("'" &amp; C26 &amp; "'!$M$91")</f>
        <v>5.8</v>
      </c>
      <c r="G26" s="63" t="s">
        <v>318</v>
      </c>
      <c r="H26" s="63">
        <f ca="1">[1]!IQR(D6:D26,FALSE)</f>
        <v>0.66666666666666696</v>
      </c>
      <c r="M26" s="63" t="s">
        <v>318</v>
      </c>
      <c r="N26" s="63">
        <f ca="1">[1]!IQR(E6:E26,FALSE)</f>
        <v>0.59999999999999964</v>
      </c>
    </row>
    <row r="30" spans="3:31" x14ac:dyDescent="0.3">
      <c r="C30" s="2"/>
      <c r="D30" s="84" t="s">
        <v>408</v>
      </c>
      <c r="E30" s="83"/>
      <c r="G30" s="107"/>
      <c r="J30" s="107"/>
    </row>
    <row r="31" spans="3:31" x14ac:dyDescent="0.3">
      <c r="C31" s="2"/>
      <c r="D31" s="2"/>
      <c r="E31" s="2"/>
      <c r="F31" s="2"/>
      <c r="G31" s="37"/>
      <c r="I31" s="2"/>
      <c r="J31" s="37"/>
    </row>
    <row r="32" spans="3:31" x14ac:dyDescent="0.3">
      <c r="C32" s="2" t="s">
        <v>285</v>
      </c>
      <c r="D32" s="37" cm="1">
        <f t="array" aca="1" ref="D32" ca="1">INDIRECT("'" &amp; C32 &amp; "'!$e$91")</f>
        <v>6</v>
      </c>
      <c r="E32" s="37" cm="1">
        <f t="array" aca="1" ref="E32" ca="1">INDIRECT("'" &amp; C32 &amp; "'!$f$91")</f>
        <v>5</v>
      </c>
      <c r="F32" s="2"/>
      <c r="G32" t="s">
        <v>300</v>
      </c>
      <c r="J32" t="s">
        <v>331</v>
      </c>
      <c r="M32" t="s">
        <v>300</v>
      </c>
      <c r="P32" t="s">
        <v>331</v>
      </c>
      <c r="S32" t="s">
        <v>338</v>
      </c>
      <c r="AC32" t="s">
        <v>358</v>
      </c>
    </row>
    <row r="33" spans="3:31" x14ac:dyDescent="0.3">
      <c r="C33" s="2" t="s">
        <v>286</v>
      </c>
      <c r="D33" s="37" cm="1">
        <f t="array" aca="1" ref="D33" ca="1">INDIRECT("'" &amp; C33 &amp; "'!$e$91")</f>
        <v>6</v>
      </c>
      <c r="E33" s="37" cm="1">
        <f t="array" aca="1" ref="E33" ca="1">INDIRECT("'" &amp; C33 &amp; "'!$f$91")</f>
        <v>2</v>
      </c>
      <c r="F33" s="2"/>
    </row>
    <row r="34" spans="3:31" ht="15" thickBot="1" x14ac:dyDescent="0.35">
      <c r="C34" s="2" t="s">
        <v>287</v>
      </c>
      <c r="D34" s="37" cm="1">
        <f t="array" aca="1" ref="D34" ca="1">INDIRECT("'" &amp; C34 &amp; "'!$e$91")</f>
        <v>3</v>
      </c>
      <c r="E34" s="37" cm="1">
        <f t="array" aca="1" ref="E34" ca="1">INDIRECT("'" &amp; C34 &amp; "'!$f$91")</f>
        <v>6</v>
      </c>
      <c r="F34" s="2"/>
      <c r="G34" s="64"/>
      <c r="H34" s="64" t="s">
        <v>379</v>
      </c>
      <c r="I34" s="79"/>
      <c r="J34" s="64"/>
      <c r="K34" s="64" t="s">
        <v>379</v>
      </c>
      <c r="M34" s="64"/>
      <c r="N34" s="64" t="s">
        <v>379</v>
      </c>
      <c r="P34" s="64"/>
      <c r="Q34" s="64" t="s">
        <v>379</v>
      </c>
      <c r="S34" t="s">
        <v>339</v>
      </c>
      <c r="V34" t="s">
        <v>340</v>
      </c>
      <c r="W34">
        <v>0.05</v>
      </c>
      <c r="Y34" t="s">
        <v>341</v>
      </c>
      <c r="Z34">
        <v>0</v>
      </c>
      <c r="AD34" t="s">
        <v>381</v>
      </c>
      <c r="AE34" t="s">
        <v>382</v>
      </c>
    </row>
    <row r="35" spans="3:31" ht="15" thickTop="1" x14ac:dyDescent="0.3">
      <c r="C35" s="2" t="s">
        <v>288</v>
      </c>
      <c r="D35" s="37" cm="1">
        <f t="array" aca="1" ref="D35" ca="1">INDIRECT("'" &amp; C35 &amp; "'!$e$91")</f>
        <v>5</v>
      </c>
      <c r="E35" s="37" cm="1">
        <f t="array" aca="1" ref="E35" ca="1">INDIRECT("'" &amp; C35 &amp; "'!$f$91")</f>
        <v>6</v>
      </c>
      <c r="F35" s="2"/>
      <c r="G35" s="65" t="s">
        <v>301</v>
      </c>
      <c r="H35" s="65">
        <f ca="1">AVERAGE(D32:D52)</f>
        <v>5.7619047619047619</v>
      </c>
      <c r="J35" t="s">
        <v>332</v>
      </c>
      <c r="K35">
        <f ca="1">[1]!SHAPIRO(D32:D52)</f>
        <v>0.81872462560307779</v>
      </c>
      <c r="M35" t="s">
        <v>301</v>
      </c>
      <c r="N35" s="65">
        <f ca="1">AVERAGE(E32:E52)</f>
        <v>5.4761904761904763</v>
      </c>
      <c r="P35" t="s">
        <v>332</v>
      </c>
      <c r="Q35">
        <f ca="1">[1]!SHAPIRO(E32:E52)</f>
        <v>0.86895320986299029</v>
      </c>
      <c r="S35" s="68" t="s">
        <v>342</v>
      </c>
      <c r="T35" s="68" t="s">
        <v>313</v>
      </c>
      <c r="U35" s="68" t="s">
        <v>301</v>
      </c>
      <c r="V35" s="68" t="s">
        <v>343</v>
      </c>
      <c r="W35" s="68" t="s">
        <v>344</v>
      </c>
      <c r="X35" s="68" t="s">
        <v>345</v>
      </c>
      <c r="Y35" s="68" t="s">
        <v>346</v>
      </c>
      <c r="Z35" s="68" t="s">
        <v>347</v>
      </c>
      <c r="AA35" s="68" t="s">
        <v>348</v>
      </c>
      <c r="AC35" t="s">
        <v>359</v>
      </c>
      <c r="AD35" s="102">
        <f ca="1">MEDIAN(D32:D52)</f>
        <v>6</v>
      </c>
      <c r="AE35" s="103">
        <f ca="1">MEDIAN(E32:E52)</f>
        <v>5</v>
      </c>
    </row>
    <row r="36" spans="3:31" x14ac:dyDescent="0.3">
      <c r="C36" s="2" t="s">
        <v>289</v>
      </c>
      <c r="D36" s="37" cm="1">
        <f t="array" aca="1" ref="D36" ca="1">INDIRECT("'" &amp; C36 &amp; "'!$e$91")</f>
        <v>7</v>
      </c>
      <c r="E36" s="37" cm="1">
        <f t="array" aca="1" ref="E36" ca="1">INDIRECT("'" &amp; C36 &amp; "'!$f$91")</f>
        <v>7</v>
      </c>
      <c r="F36" s="2"/>
      <c r="G36" t="s">
        <v>302</v>
      </c>
      <c r="H36">
        <f ca="1">_xlfn.STDEV.S(D32:D52)/SQRT(COUNT(D32:D52))</f>
        <v>0.31550988139957059</v>
      </c>
      <c r="J36" t="s">
        <v>333</v>
      </c>
      <c r="K36">
        <f ca="1">[1]!SWTEST(D32:D52)</f>
        <v>1.2866501229381599E-3</v>
      </c>
      <c r="M36" t="s">
        <v>302</v>
      </c>
      <c r="N36">
        <f ca="1">_xlfn.STDEV.S(E32:E52)/SQRT(COUNT(E32:E52))</f>
        <v>0.29776187049263758</v>
      </c>
      <c r="P36" t="s">
        <v>333</v>
      </c>
      <c r="Q36">
        <f ca="1">[1]!SWTEST(E32:E52)</f>
        <v>9.1712439214840513E-3</v>
      </c>
      <c r="S36" t="s">
        <v>379</v>
      </c>
      <c r="T36">
        <f ca="1">COUNT(D32:D52)</f>
        <v>21</v>
      </c>
      <c r="U36" s="65">
        <f ca="1">AVERAGE(D32:D52)</f>
        <v>5.7619047619047619</v>
      </c>
      <c r="V36">
        <f ca="1">_xlfn.STDEV.S(D32:D52)</f>
        <v>1.4458479140200717</v>
      </c>
    </row>
    <row r="37" spans="3:31" x14ac:dyDescent="0.3">
      <c r="C37" s="2" t="s">
        <v>290</v>
      </c>
      <c r="D37" s="37" cm="1">
        <f t="array" aca="1" ref="D37" ca="1">INDIRECT("'" &amp; C37 &amp; "'!$e$91")</f>
        <v>5</v>
      </c>
      <c r="E37" s="37" cm="1">
        <f t="array" aca="1" ref="E37" ca="1">INDIRECT("'" &amp; C37 &amp; "'!$f$91")</f>
        <v>3</v>
      </c>
      <c r="F37" s="2"/>
      <c r="G37" s="65" t="s">
        <v>303</v>
      </c>
      <c r="H37" s="65">
        <f ca="1">MEDIAN(D32:D52)</f>
        <v>6</v>
      </c>
      <c r="J37" t="s">
        <v>334</v>
      </c>
      <c r="K37">
        <v>0.05</v>
      </c>
      <c r="M37" t="s">
        <v>303</v>
      </c>
      <c r="N37" s="65">
        <f ca="1">MEDIAN(E32:E52)</f>
        <v>5</v>
      </c>
      <c r="P37" t="s">
        <v>334</v>
      </c>
      <c r="Q37">
        <v>0.05</v>
      </c>
      <c r="S37" t="s">
        <v>380</v>
      </c>
      <c r="T37">
        <f ca="1">COUNT(E32:E52)</f>
        <v>21</v>
      </c>
      <c r="U37" s="65">
        <f ca="1">AVERAGE(E32:E52)</f>
        <v>5.4761904761904763</v>
      </c>
      <c r="V37">
        <f ca="1">_xlfn.STDEV.S(E32:E52)</f>
        <v>1.3645163106041494</v>
      </c>
      <c r="AC37" t="s">
        <v>360</v>
      </c>
      <c r="AD37" s="88">
        <f ca="1">SUMPRODUCT(--ISNUMBER(D32:D52),--ISNUMBER(E32:E52))</f>
        <v>21</v>
      </c>
    </row>
    <row r="38" spans="3:31" x14ac:dyDescent="0.3">
      <c r="C38" s="2" t="s">
        <v>291</v>
      </c>
      <c r="D38" s="37" cm="1">
        <f t="array" aca="1" ref="D38" ca="1">INDIRECT("'" &amp; C38 &amp; "'!$e$91")</f>
        <v>7</v>
      </c>
      <c r="E38" s="37" cm="1">
        <f t="array" aca="1" ref="E38" ca="1">INDIRECT("'" &amp; C38 &amp; "'!$f$91")</f>
        <v>6</v>
      </c>
      <c r="F38" s="2"/>
      <c r="G38" t="s">
        <v>304</v>
      </c>
      <c r="H38">
        <f ca="1">MODE(D32:D52)</f>
        <v>7</v>
      </c>
      <c r="J38" s="66" t="s">
        <v>335</v>
      </c>
      <c r="K38" s="66" t="str">
        <f ca="1">IF(K36&lt;K37,"no","yes")</f>
        <v>no</v>
      </c>
      <c r="M38" t="s">
        <v>304</v>
      </c>
      <c r="N38">
        <f ca="1">MODE(E32:E52)</f>
        <v>5</v>
      </c>
      <c r="P38" s="63" t="s">
        <v>335</v>
      </c>
      <c r="Q38" s="66" t="str">
        <f ca="1">IF(Q36&lt;Q37,"no","yes")</f>
        <v>no</v>
      </c>
      <c r="S38" s="85" t="s">
        <v>349</v>
      </c>
      <c r="T38" s="85">
        <f ca="1">T37</f>
        <v>21</v>
      </c>
      <c r="U38" s="100">
        <f ca="1">U36-U37</f>
        <v>0.28571428571428559</v>
      </c>
      <c r="V38" s="85">
        <f t="array" aca="1" ref="V38" ca="1">_xlfn.STDEV.S(D32:D52-E32:E52)</f>
        <v>1.6168752933623898</v>
      </c>
      <c r="W38" s="85">
        <f ca="1">V38/SQRT(T38)</f>
        <v>0.35283111529224198</v>
      </c>
      <c r="X38" s="85">
        <f ca="1">(U36-U37-Z34)/W38</f>
        <v>0.80977633017891559</v>
      </c>
      <c r="Y38" s="85">
        <f ca="1">T38-1</f>
        <v>20</v>
      </c>
      <c r="Z38" s="85">
        <f ca="1">ABS(U36-U37-Z34)/V38</f>
        <v>0.17670768233468734</v>
      </c>
      <c r="AA38" s="85">
        <f ca="1">SQRT(X38^2/(X38^2+Y38))</f>
        <v>0.17817416127494948</v>
      </c>
      <c r="AC38" t="s">
        <v>361</v>
      </c>
      <c r="AD38" s="74">
        <f ca="1">SUMPRODUCT(--ISNUMBER(D32:D52),--ISNUMBER(E32:E52),--(D32:D52&lt;&gt;E32:E52))</f>
        <v>11</v>
      </c>
    </row>
    <row r="39" spans="3:31" x14ac:dyDescent="0.3">
      <c r="C39" s="2" t="s">
        <v>292</v>
      </c>
      <c r="D39" s="37" cm="1">
        <f t="array" aca="1" ref="D39" ca="1">INDIRECT("'" &amp; C39 &amp; "'!$e$91")</f>
        <v>7</v>
      </c>
      <c r="E39" s="37" cm="1">
        <f t="array" aca="1" ref="E39" ca="1">INDIRECT("'" &amp; C39 &amp; "'!$f$91")</f>
        <v>7</v>
      </c>
      <c r="F39" s="2"/>
      <c r="G39" t="s">
        <v>305</v>
      </c>
      <c r="H39">
        <f ca="1">_xlfn.STDEV.S(D32:D52)</f>
        <v>1.4458479140200717</v>
      </c>
      <c r="M39" t="s">
        <v>305</v>
      </c>
      <c r="N39">
        <f ca="1">_xlfn.STDEV.S(E32:E52)</f>
        <v>1.3645163106041494</v>
      </c>
      <c r="AC39" t="s">
        <v>362</v>
      </c>
      <c r="AD39" s="74">
        <f ca="1">IF(AD41&lt;=AD44,AD41,AD38*(AD38+1)/2)</f>
        <v>24</v>
      </c>
    </row>
    <row r="40" spans="3:31" ht="15" thickBot="1" x14ac:dyDescent="0.35">
      <c r="C40" s="2" t="s">
        <v>293</v>
      </c>
      <c r="D40" s="37" cm="1">
        <f t="array" aca="1" ref="D40" ca="1">INDIRECT("'" &amp; C40 &amp; "'!$e$91")</f>
        <v>7</v>
      </c>
      <c r="E40" s="37" cm="1">
        <f t="array" aca="1" ref="E40" ca="1">INDIRECT("'" &amp; C40 &amp; "'!$f$91")</f>
        <v>5</v>
      </c>
      <c r="F40" s="2"/>
      <c r="G40" t="s">
        <v>306</v>
      </c>
      <c r="H40">
        <f ca="1">_xlfn.VAR.S(D32:D52)</f>
        <v>2.0904761904761928</v>
      </c>
      <c r="J40" t="s">
        <v>336</v>
      </c>
      <c r="M40" t="s">
        <v>306</v>
      </c>
      <c r="N40">
        <f ca="1">_xlfn.VAR.S(E32:E52)</f>
        <v>1.8619047619047593</v>
      </c>
      <c r="P40" t="s">
        <v>336</v>
      </c>
      <c r="S40" t="s">
        <v>350</v>
      </c>
      <c r="AC40" t="s">
        <v>363</v>
      </c>
      <c r="AD40" s="74">
        <f ca="1">AD38*(AD38+1)/2-AD39</f>
        <v>42</v>
      </c>
    </row>
    <row r="41" spans="3:31" ht="15" thickTop="1" x14ac:dyDescent="0.3">
      <c r="C41" s="2" t="s">
        <v>294</v>
      </c>
      <c r="D41" s="37" cm="1">
        <f t="array" aca="1" ref="D41" ca="1">INDIRECT("'" &amp; C41 &amp; "'!$e$91")</f>
        <v>7</v>
      </c>
      <c r="E41" s="37" cm="1">
        <f t="array" aca="1" ref="E41" ca="1">INDIRECT("'" &amp; C41 &amp; "'!$f$91")</f>
        <v>7</v>
      </c>
      <c r="F41" s="2"/>
      <c r="G41" t="s">
        <v>307</v>
      </c>
      <c r="H41">
        <f ca="1">KURT(D32:D52)</f>
        <v>0.98809050115806718</v>
      </c>
      <c r="M41" t="s">
        <v>307</v>
      </c>
      <c r="N41">
        <f ca="1">KURT(E32:E52)</f>
        <v>0.80544585933538793</v>
      </c>
      <c r="S41" s="68" t="s">
        <v>351</v>
      </c>
      <c r="T41" s="68" t="s">
        <v>333</v>
      </c>
      <c r="U41" s="68" t="s">
        <v>352</v>
      </c>
      <c r="V41" s="68" t="s">
        <v>353</v>
      </c>
      <c r="W41" s="68" t="s">
        <v>354</v>
      </c>
      <c r="X41" s="68" t="s">
        <v>355</v>
      </c>
      <c r="AC41" t="s">
        <v>364</v>
      </c>
      <c r="AD41" s="75">
        <f ca="1">[1]!SRANK(D32:D52,E32:E52)</f>
        <v>24</v>
      </c>
    </row>
    <row r="42" spans="3:31" x14ac:dyDescent="0.3">
      <c r="C42" s="2" t="s">
        <v>295</v>
      </c>
      <c r="D42" s="37" cm="1">
        <f t="array" aca="1" ref="D42" ca="1">INDIRECT("'" &amp; C42 &amp; "'!$e$91")</f>
        <v>7</v>
      </c>
      <c r="E42" s="37" cm="1">
        <f t="array" aca="1" ref="E42" ca="1">INDIRECT("'" &amp; C42 &amp; "'!$f$91")</f>
        <v>7</v>
      </c>
      <c r="F42" s="2"/>
      <c r="G42" t="s">
        <v>308</v>
      </c>
      <c r="H42">
        <f ca="1">SKEW(D32:D52)</f>
        <v>-1.1857559252691914</v>
      </c>
      <c r="J42" s="85" t="s">
        <v>337</v>
      </c>
      <c r="K42" s="85">
        <f ca="1">[1]!DAGOSTINO(D32:D52)</f>
        <v>6.4261378133574434</v>
      </c>
      <c r="M42" t="s">
        <v>308</v>
      </c>
      <c r="N42">
        <f ca="1">SKEW(E32:E52)</f>
        <v>-0.85844008577852926</v>
      </c>
      <c r="P42" s="85" t="s">
        <v>337</v>
      </c>
      <c r="Q42" s="85">
        <f ca="1">[1]!DAGOSTINO(E32:E52)</f>
        <v>3.9207188796444097</v>
      </c>
      <c r="S42" t="s">
        <v>356</v>
      </c>
      <c r="T42">
        <f ca="1">_xlfn.T.DIST.RT(ABS(X38),Y38)</f>
        <v>0.21379937514757158</v>
      </c>
      <c r="U42">
        <f ca="1">_xlfn.T.INV.2T(W34*2,Y38)</f>
        <v>1.7247182429207868</v>
      </c>
      <c r="X42" s="70" t="str">
        <f ca="1">IF(T42&lt;W34,"yes","no")</f>
        <v>no</v>
      </c>
    </row>
    <row r="43" spans="3:31" x14ac:dyDescent="0.3">
      <c r="C43" s="2" t="s">
        <v>296</v>
      </c>
      <c r="D43" s="37" cm="1">
        <f t="array" aca="1" ref="D43" ca="1">INDIRECT("'" &amp; C43 &amp; "'!$e$91")</f>
        <v>6</v>
      </c>
      <c r="E43" s="37" cm="1">
        <f t="array" aca="1" ref="E43" ca="1">INDIRECT("'" &amp; C43 &amp; "'!$f$91")</f>
        <v>4</v>
      </c>
      <c r="F43" s="2"/>
      <c r="G43" t="s">
        <v>309</v>
      </c>
      <c r="H43">
        <f ca="1">H44-H45</f>
        <v>5</v>
      </c>
      <c r="J43" t="s">
        <v>333</v>
      </c>
      <c r="K43">
        <f ca="1">[1]!DPTEST(D32:D52)</f>
        <v>4.0232952440860448E-2</v>
      </c>
      <c r="M43" t="s">
        <v>309</v>
      </c>
      <c r="N43">
        <f ca="1">N44-N45</f>
        <v>5</v>
      </c>
      <c r="P43" t="s">
        <v>333</v>
      </c>
      <c r="Q43">
        <f ca="1">[1]!DPTEST(E32:E52)</f>
        <v>0.14080779989342473</v>
      </c>
      <c r="S43" t="s">
        <v>357</v>
      </c>
      <c r="T43">
        <f ca="1">_xlfn.T.DIST.2T(ABS(X38),Y38)</f>
        <v>0.42759875029514316</v>
      </c>
      <c r="U43">
        <f ca="1">_xlfn.T.INV.2T(W34,Y38)</f>
        <v>2.0859634472658648</v>
      </c>
      <c r="V43">
        <f ca="1">(U36-U37)-W38*U43</f>
        <v>-0.4502785238433793</v>
      </c>
      <c r="W43">
        <f ca="1">(U36-U37)+W38*U43</f>
        <v>1.0217070952719505</v>
      </c>
      <c r="X43" s="70" t="str">
        <f ca="1">IF(T43&lt;W34,"yes","no")</f>
        <v>no</v>
      </c>
      <c r="AD43" s="70" t="s">
        <v>365</v>
      </c>
      <c r="AE43" s="70" t="s">
        <v>366</v>
      </c>
    </row>
    <row r="44" spans="3:31" x14ac:dyDescent="0.3">
      <c r="C44" s="2" t="s">
        <v>297</v>
      </c>
      <c r="D44" s="37" cm="1">
        <f t="array" aca="1" ref="D44" ca="1">INDIRECT("'" &amp; C44 &amp; "'!$e$91")</f>
        <v>6</v>
      </c>
      <c r="E44" s="37" cm="1">
        <f t="array" aca="1" ref="E44" ca="1">INDIRECT("'" &amp; C44 &amp; "'!$f$91")</f>
        <v>6</v>
      </c>
      <c r="F44" s="2"/>
      <c r="G44" s="65" t="s">
        <v>310</v>
      </c>
      <c r="H44" s="65">
        <f ca="1">MAX(D32:D52)</f>
        <v>7</v>
      </c>
      <c r="J44" t="s">
        <v>334</v>
      </c>
      <c r="K44">
        <v>0.05</v>
      </c>
      <c r="M44" t="s">
        <v>310</v>
      </c>
      <c r="N44" s="65">
        <f ca="1">MAX(E32:E52)</f>
        <v>7</v>
      </c>
      <c r="P44" t="s">
        <v>334</v>
      </c>
      <c r="Q44">
        <v>0.05</v>
      </c>
      <c r="S44" s="85"/>
      <c r="T44" s="85"/>
      <c r="U44" s="85"/>
      <c r="V44" s="85"/>
      <c r="W44" s="85"/>
      <c r="X44" s="85"/>
      <c r="AC44" t="s">
        <v>367</v>
      </c>
      <c r="AD44" s="88">
        <f ca="1">AD38*(AD38+1)/4</f>
        <v>33</v>
      </c>
    </row>
    <row r="45" spans="3:31" x14ac:dyDescent="0.3">
      <c r="C45" s="2" t="s">
        <v>298</v>
      </c>
      <c r="D45" s="37" cm="1">
        <f t="array" aca="1" ref="D45" ca="1">INDIRECT("'" &amp; C45 &amp; "'!$e$91")</f>
        <v>7</v>
      </c>
      <c r="E45" s="37" cm="1">
        <f t="array" aca="1" ref="E45" ca="1">INDIRECT("'" &amp; C45 &amp; "'!$f$91")</f>
        <v>7</v>
      </c>
      <c r="F45" s="2"/>
      <c r="G45" s="65" t="s">
        <v>311</v>
      </c>
      <c r="H45" s="65">
        <f ca="1">MIN(D32:D52)</f>
        <v>2</v>
      </c>
      <c r="J45" s="66" t="s">
        <v>335</v>
      </c>
      <c r="K45" s="66" t="str">
        <f ca="1">IF(K43&lt;K44,"no","yes")</f>
        <v>no</v>
      </c>
      <c r="M45" t="s">
        <v>311</v>
      </c>
      <c r="N45" s="65">
        <f ca="1">MIN(E32:E52)</f>
        <v>2</v>
      </c>
      <c r="P45" s="63" t="s">
        <v>335</v>
      </c>
      <c r="Q45" s="66" t="str">
        <f ca="1">IF(Q43&lt;Q44,"no","yes")</f>
        <v>yes</v>
      </c>
      <c r="AC45" t="s">
        <v>368</v>
      </c>
      <c r="AD45" s="74">
        <f ca="1">SQRT(AD44*(2*AD38+1)/6-[1]!TiesCorrection(D32:D52,E32:E52,1)/48)</f>
        <v>11.129914644776033</v>
      </c>
      <c r="AE45" t="s">
        <v>369</v>
      </c>
    </row>
    <row r="46" spans="3:31" x14ac:dyDescent="0.3">
      <c r="C46" s="2" t="s">
        <v>299</v>
      </c>
      <c r="D46" s="37" cm="1">
        <f t="array" aca="1" ref="D46" ca="1">INDIRECT("'" &amp; C46 &amp; "'!$e$91")</f>
        <v>5</v>
      </c>
      <c r="E46" s="37" cm="1">
        <f t="array" aca="1" ref="E46" ca="1">INDIRECT("'" &amp; C46 &amp; "'!$f$91")</f>
        <v>5</v>
      </c>
      <c r="F46" s="2"/>
      <c r="G46" s="65" t="s">
        <v>312</v>
      </c>
      <c r="H46" s="65">
        <f ca="1">SUM(D32:D52)</f>
        <v>121</v>
      </c>
      <c r="M46" t="s">
        <v>312</v>
      </c>
      <c r="N46" s="65">
        <f ca="1">SUM(E32:E52)</f>
        <v>115</v>
      </c>
      <c r="AC46" t="s">
        <v>370</v>
      </c>
      <c r="AD46" s="74">
        <f ca="1">ABS(ABS(AD41-AD44)-1/2)/AD45</f>
        <v>0.76370756392005068</v>
      </c>
      <c r="AE46" t="s">
        <v>371</v>
      </c>
    </row>
    <row r="47" spans="3:31" x14ac:dyDescent="0.3">
      <c r="C47" s="2" t="s">
        <v>395</v>
      </c>
      <c r="D47" s="37" cm="1">
        <f t="array" aca="1" ref="D47" ca="1">INDIRECT("'" &amp; C47 &amp; "'!$e$91")</f>
        <v>2</v>
      </c>
      <c r="E47" s="37" cm="1">
        <f t="array" aca="1" ref="E47" ca="1">INDIRECT("'" &amp; C47 &amp; "'!$f$91")</f>
        <v>5</v>
      </c>
      <c r="F47" s="2"/>
      <c r="G47" t="s">
        <v>313</v>
      </c>
      <c r="H47">
        <f ca="1">COUNT(D32:D52)</f>
        <v>21</v>
      </c>
      <c r="M47" t="s">
        <v>313</v>
      </c>
      <c r="N47">
        <f ca="1">COUNT(E32:E52)</f>
        <v>21</v>
      </c>
      <c r="AC47" t="s">
        <v>372</v>
      </c>
      <c r="AD47" s="74">
        <f ca="1">AD46/SQRT(AD38)</f>
        <v>0.23026649446174285</v>
      </c>
    </row>
    <row r="48" spans="3:31" x14ac:dyDescent="0.3">
      <c r="C48" s="2" t="s">
        <v>396</v>
      </c>
      <c r="D48" s="37" cm="1">
        <f t="array" aca="1" ref="D48" ca="1">INDIRECT("'" &amp; C48 &amp; "'!$e$91")</f>
        <v>7</v>
      </c>
      <c r="E48" s="37" cm="1">
        <f t="array" aca="1" ref="E48" ca="1">INDIRECT("'" &amp; C48 &amp; "'!$f$91")</f>
        <v>7</v>
      </c>
      <c r="F48" s="2"/>
      <c r="G48" t="s">
        <v>314</v>
      </c>
      <c r="H48">
        <f ca="1">GEOMEAN(D32:D52)</f>
        <v>5.5277696175446458</v>
      </c>
      <c r="M48" t="s">
        <v>314</v>
      </c>
      <c r="N48">
        <f ca="1">GEOMEAN(E32:E52)</f>
        <v>5.2683485623699537</v>
      </c>
      <c r="AC48" t="s">
        <v>373</v>
      </c>
      <c r="AD48" s="88">
        <f ca="1">1-_xlfn.NORM.S.DIST(AD46,TRUE)</f>
        <v>0.2225207661147004</v>
      </c>
      <c r="AE48" s="104">
        <f ca="1">2*AD48</f>
        <v>0.44504153222940079</v>
      </c>
    </row>
    <row r="49" spans="3:31" x14ac:dyDescent="0.3">
      <c r="C49" s="2" t="s">
        <v>397</v>
      </c>
      <c r="D49" s="37" cm="1">
        <f t="array" aca="1" ref="D49" ca="1">INDIRECT("'" &amp; C49 &amp; "'!$e$91")</f>
        <v>4</v>
      </c>
      <c r="E49" s="37" cm="1">
        <f t="array" aca="1" ref="E49" ca="1">INDIRECT("'" &amp; C49 &amp; "'!$f$91")</f>
        <v>5</v>
      </c>
      <c r="F49" s="2"/>
      <c r="G49" t="s">
        <v>315</v>
      </c>
      <c r="H49">
        <f ca="1">HARMEAN(D32:D52)</f>
        <v>5.2035398230088497</v>
      </c>
      <c r="M49" t="s">
        <v>315</v>
      </c>
      <c r="N49">
        <f ca="1">HARMEAN(E32:E52)</f>
        <v>4.9915110356536498</v>
      </c>
      <c r="AC49" t="s">
        <v>374</v>
      </c>
      <c r="AD49" s="74">
        <f ca="1">[1]!SRDIST(AD41,AD38,1)</f>
        <v>0.232421875</v>
      </c>
      <c r="AE49" s="77">
        <f ca="1">2*AD49</f>
        <v>0.46484375</v>
      </c>
    </row>
    <row r="50" spans="3:31" x14ac:dyDescent="0.3">
      <c r="C50" s="2" t="s">
        <v>398</v>
      </c>
      <c r="D50" s="37" cm="1">
        <f t="array" aca="1" ref="D50" ca="1">INDIRECT("'" &amp; C50 &amp; "'!$e$91")</f>
        <v>5</v>
      </c>
      <c r="E50" s="37" cm="1">
        <f t="array" aca="1" ref="E50" ca="1">INDIRECT("'" &amp; C50 &amp; "'!$f$91")</f>
        <v>5</v>
      </c>
      <c r="F50" s="2"/>
      <c r="G50" t="s">
        <v>316</v>
      </c>
      <c r="H50">
        <f ca="1">AVEDEV(D32:D52)</f>
        <v>1.1519274376417232</v>
      </c>
      <c r="M50" t="s">
        <v>316</v>
      </c>
      <c r="N50">
        <f ca="1">AVEDEV(E32:E52)</f>
        <v>1.0702947845804984</v>
      </c>
      <c r="AC50" t="s">
        <v>375</v>
      </c>
      <c r="AD50" s="75" t="s">
        <v>376</v>
      </c>
      <c r="AE50" s="78" t="s">
        <v>376</v>
      </c>
    </row>
    <row r="51" spans="3:31" x14ac:dyDescent="0.3">
      <c r="C51" s="2" t="s">
        <v>399</v>
      </c>
      <c r="D51" s="37" cm="1">
        <f t="array" aca="1" ref="D51" ca="1">INDIRECT("'" &amp; C51 &amp; "'!$e$91")</f>
        <v>7</v>
      </c>
      <c r="E51" s="37" cm="1">
        <f t="array" aca="1" ref="E51" ca="1">INDIRECT("'" &amp; C51 &amp; "'!$f$91")</f>
        <v>5</v>
      </c>
      <c r="F51" s="2"/>
      <c r="G51" t="s">
        <v>317</v>
      </c>
      <c r="H51">
        <f ca="1">[1]!MAD(D32:D52)</f>
        <v>1</v>
      </c>
      <c r="M51" t="s">
        <v>317</v>
      </c>
      <c r="N51">
        <f ca="1">[1]!MAD(E32:E52)</f>
        <v>1</v>
      </c>
    </row>
    <row r="52" spans="3:31" x14ac:dyDescent="0.3">
      <c r="C52" s="2" t="s">
        <v>400</v>
      </c>
      <c r="D52" s="37" cm="1">
        <f t="array" aca="1" ref="D52" ca="1">INDIRECT("'" &amp; C52 &amp; "'!$e$91")</f>
        <v>5</v>
      </c>
      <c r="E52" s="37" cm="1">
        <f t="array" aca="1" ref="E52" ca="1">INDIRECT("'" &amp; C52 &amp; "'!$f$91")</f>
        <v>5</v>
      </c>
      <c r="G52" s="63" t="s">
        <v>318</v>
      </c>
      <c r="H52" s="63">
        <f ca="1">[1]!IQR(D32:D52,FALSE)</f>
        <v>2</v>
      </c>
      <c r="M52" s="63" t="s">
        <v>318</v>
      </c>
      <c r="N52" s="63">
        <f ca="1">[1]!IQR(E32:E52,FALSE)</f>
        <v>2</v>
      </c>
    </row>
    <row r="56" spans="3:31" x14ac:dyDescent="0.3">
      <c r="C56" s="79"/>
      <c r="D56" s="79"/>
      <c r="F56" s="79"/>
      <c r="G56" s="79"/>
    </row>
    <row r="57" spans="3:31" x14ac:dyDescent="0.3">
      <c r="C57" s="2"/>
      <c r="D57" s="82" t="s">
        <v>410</v>
      </c>
      <c r="E57" s="83"/>
      <c r="G57" s="107"/>
      <c r="J57" s="107"/>
    </row>
    <row r="58" spans="3:31" x14ac:dyDescent="0.3">
      <c r="C58" s="2"/>
      <c r="D58" s="2"/>
      <c r="E58" s="2"/>
      <c r="F58" s="2"/>
      <c r="G58" s="37"/>
      <c r="I58" s="2"/>
      <c r="J58" s="37"/>
    </row>
    <row r="59" spans="3:31" x14ac:dyDescent="0.3">
      <c r="C59" s="2" t="s">
        <v>285</v>
      </c>
      <c r="D59" s="37" cm="1">
        <f t="array" aca="1" ref="D59" ca="1">INDIRECT("'" &amp; C59 &amp; "'!$e$92")</f>
        <v>3</v>
      </c>
      <c r="E59" s="37" cm="1">
        <f t="array" aca="1" ref="E59" ca="1">INDIRECT("'" &amp; C59 &amp; "'!$f$92")</f>
        <v>5</v>
      </c>
      <c r="F59" s="2"/>
      <c r="G59" t="s">
        <v>300</v>
      </c>
      <c r="J59" t="s">
        <v>331</v>
      </c>
      <c r="M59" t="s">
        <v>300</v>
      </c>
      <c r="P59" t="s">
        <v>331</v>
      </c>
      <c r="S59" t="s">
        <v>338</v>
      </c>
      <c r="AC59" t="s">
        <v>358</v>
      </c>
    </row>
    <row r="60" spans="3:31" x14ac:dyDescent="0.3">
      <c r="C60" s="2" t="s">
        <v>286</v>
      </c>
      <c r="D60" s="37" cm="1">
        <f t="array" aca="1" ref="D60" ca="1">INDIRECT("'" &amp; C60 &amp; "'!$e$92")</f>
        <v>5</v>
      </c>
      <c r="E60" s="37" cm="1">
        <f t="array" aca="1" ref="E60" ca="1">INDIRECT("'" &amp; C60 &amp; "'!$f$92")</f>
        <v>6</v>
      </c>
      <c r="F60" s="2"/>
    </row>
    <row r="61" spans="3:31" ht="15" thickBot="1" x14ac:dyDescent="0.35">
      <c r="C61" s="2" t="s">
        <v>287</v>
      </c>
      <c r="D61" s="37" cm="1">
        <f t="array" aca="1" ref="D61" ca="1">INDIRECT("'" &amp; C61 &amp; "'!$e$92")</f>
        <v>2</v>
      </c>
      <c r="E61" s="37" cm="1">
        <f t="array" aca="1" ref="E61" ca="1">INDIRECT("'" &amp; C61 &amp; "'!$f$92")</f>
        <v>2</v>
      </c>
      <c r="F61" s="2"/>
      <c r="G61" s="64"/>
      <c r="H61" s="64" t="s">
        <v>379</v>
      </c>
      <c r="I61" s="79"/>
      <c r="J61" s="64"/>
      <c r="K61" s="64" t="s">
        <v>379</v>
      </c>
      <c r="M61" s="64"/>
      <c r="N61" s="64" t="s">
        <v>379</v>
      </c>
      <c r="P61" s="64"/>
      <c r="Q61" s="64" t="s">
        <v>379</v>
      </c>
      <c r="S61" t="s">
        <v>339</v>
      </c>
      <c r="V61" t="s">
        <v>340</v>
      </c>
      <c r="W61">
        <v>0.05</v>
      </c>
      <c r="Y61" t="s">
        <v>341</v>
      </c>
      <c r="Z61">
        <v>0</v>
      </c>
      <c r="AD61" t="s">
        <v>381</v>
      </c>
      <c r="AE61" t="s">
        <v>382</v>
      </c>
    </row>
    <row r="62" spans="3:31" ht="15" thickTop="1" x14ac:dyDescent="0.3">
      <c r="C62" s="2" t="s">
        <v>288</v>
      </c>
      <c r="D62" s="37" cm="1">
        <f t="array" aca="1" ref="D62" ca="1">INDIRECT("'" &amp; C62 &amp; "'!$e$92")</f>
        <v>2</v>
      </c>
      <c r="E62" s="37" cm="1">
        <f t="array" aca="1" ref="E62" ca="1">INDIRECT("'" &amp; C62 &amp; "'!$f$92")</f>
        <v>1</v>
      </c>
      <c r="F62" s="2"/>
      <c r="G62" s="65" t="s">
        <v>301</v>
      </c>
      <c r="H62" s="65">
        <f ca="1">AVERAGE(D59:D79)</f>
        <v>1.8571428571428572</v>
      </c>
      <c r="J62" t="s">
        <v>332</v>
      </c>
      <c r="K62">
        <f ca="1">[1]!SHAPIRO(D59:D79)</f>
        <v>0.67303682950023369</v>
      </c>
      <c r="M62" t="s">
        <v>301</v>
      </c>
      <c r="N62" s="65">
        <f ca="1">AVERAGE(E59:E79)</f>
        <v>3.3333333333333335</v>
      </c>
      <c r="P62" t="s">
        <v>332</v>
      </c>
      <c r="Q62">
        <f ca="1">[1]!SHAPIRO(E59:E79)</f>
        <v>0.9309514182113805</v>
      </c>
      <c r="S62" s="68" t="s">
        <v>342</v>
      </c>
      <c r="T62" s="68" t="s">
        <v>313</v>
      </c>
      <c r="U62" s="68" t="s">
        <v>301</v>
      </c>
      <c r="V62" s="68" t="s">
        <v>343</v>
      </c>
      <c r="W62" s="68" t="s">
        <v>344</v>
      </c>
      <c r="X62" s="68" t="s">
        <v>345</v>
      </c>
      <c r="Y62" s="68" t="s">
        <v>346</v>
      </c>
      <c r="Z62" s="68" t="s">
        <v>347</v>
      </c>
      <c r="AA62" s="68" t="s">
        <v>348</v>
      </c>
      <c r="AC62" t="s">
        <v>359</v>
      </c>
      <c r="AD62" s="102">
        <f ca="1">MEDIAN(D59:D79)</f>
        <v>1</v>
      </c>
      <c r="AE62" s="103">
        <f ca="1">MEDIAN(E59:E79)</f>
        <v>3</v>
      </c>
    </row>
    <row r="63" spans="3:31" x14ac:dyDescent="0.3">
      <c r="C63" s="2" t="s">
        <v>289</v>
      </c>
      <c r="D63" s="37" cm="1">
        <f t="array" aca="1" ref="D63" ca="1">INDIRECT("'" &amp; C63 &amp; "'!$e$92")</f>
        <v>1</v>
      </c>
      <c r="E63" s="37" cm="1">
        <f t="array" aca="1" ref="E63" ca="1">INDIRECT("'" &amp; C63 &amp; "'!$f$92")</f>
        <v>1</v>
      </c>
      <c r="F63" s="2"/>
      <c r="G63" t="s">
        <v>302</v>
      </c>
      <c r="H63">
        <f ca="1">_xlfn.STDEV.S(D59:D79)/SQRT(COUNT(D59:D79))</f>
        <v>0.30304576336566325</v>
      </c>
      <c r="J63" t="s">
        <v>333</v>
      </c>
      <c r="K63">
        <f ca="1">[1]!SWTEST(D59:D79)</f>
        <v>1.2937685234359897E-5</v>
      </c>
      <c r="M63" t="s">
        <v>302</v>
      </c>
      <c r="N63">
        <f ca="1">_xlfn.STDEV.S(E59:E79)/SQRT(COUNT(E59:E79))</f>
        <v>0.34732538150115178</v>
      </c>
      <c r="P63" t="s">
        <v>333</v>
      </c>
      <c r="Q63">
        <f ca="1">[1]!SWTEST(E59:E79)</f>
        <v>0.14383186571795714</v>
      </c>
      <c r="S63" t="s">
        <v>379</v>
      </c>
      <c r="T63">
        <f ca="1">COUNT(D59:D79)</f>
        <v>21</v>
      </c>
      <c r="U63" s="65">
        <f ca="1">AVERAGE(D59:D79)</f>
        <v>1.8571428571428572</v>
      </c>
      <c r="V63">
        <f ca="1">_xlfn.STDEV.S(D59:D79)</f>
        <v>1.3887301496588271</v>
      </c>
    </row>
    <row r="64" spans="3:31" x14ac:dyDescent="0.3">
      <c r="C64" s="2" t="s">
        <v>290</v>
      </c>
      <c r="D64" s="37" cm="1">
        <f t="array" aca="1" ref="D64" ca="1">INDIRECT("'" &amp; C64 &amp; "'!$e$92")</f>
        <v>1</v>
      </c>
      <c r="E64" s="37" cm="1">
        <f t="array" aca="1" ref="E64" ca="1">INDIRECT("'" &amp; C64 &amp; "'!$f$92")</f>
        <v>2</v>
      </c>
      <c r="F64" s="2"/>
      <c r="G64" s="65" t="s">
        <v>303</v>
      </c>
      <c r="H64" s="65">
        <f ca="1">MEDIAN(D59:D79)</f>
        <v>1</v>
      </c>
      <c r="J64" t="s">
        <v>334</v>
      </c>
      <c r="K64">
        <v>0.05</v>
      </c>
      <c r="M64" t="s">
        <v>303</v>
      </c>
      <c r="N64" s="65">
        <f ca="1">MEDIAN(E59:E79)</f>
        <v>3</v>
      </c>
      <c r="P64" t="s">
        <v>334</v>
      </c>
      <c r="Q64">
        <v>0.05</v>
      </c>
      <c r="S64" t="s">
        <v>380</v>
      </c>
      <c r="T64">
        <f ca="1">COUNT(E59:E79)</f>
        <v>21</v>
      </c>
      <c r="U64" s="65">
        <f ca="1">AVERAGE(E59:E79)</f>
        <v>3.3333333333333335</v>
      </c>
      <c r="V64">
        <f ca="1">_xlfn.STDEV.S(E59:E79)</f>
        <v>1.5916448515084427</v>
      </c>
      <c r="AC64" t="s">
        <v>360</v>
      </c>
      <c r="AD64" s="88">
        <f ca="1">SUMPRODUCT(--ISNUMBER(D59:D79),--ISNUMBER(E59:E79))</f>
        <v>21</v>
      </c>
    </row>
    <row r="65" spans="3:31" x14ac:dyDescent="0.3">
      <c r="C65" s="2" t="s">
        <v>291</v>
      </c>
      <c r="D65" s="37" cm="1">
        <f t="array" aca="1" ref="D65" ca="1">INDIRECT("'" &amp; C65 &amp; "'!$e$92")</f>
        <v>1</v>
      </c>
      <c r="E65" s="37" cm="1">
        <f t="array" aca="1" ref="E65" ca="1">INDIRECT("'" &amp; C65 &amp; "'!$f$92")</f>
        <v>3</v>
      </c>
      <c r="F65" s="2"/>
      <c r="G65" t="s">
        <v>304</v>
      </c>
      <c r="H65">
        <f ca="1">MODE(D59:D79)</f>
        <v>1</v>
      </c>
      <c r="J65" s="66" t="s">
        <v>335</v>
      </c>
      <c r="K65" s="66" t="str">
        <f ca="1">IF(K63&lt;K64,"no","yes")</f>
        <v>no</v>
      </c>
      <c r="M65" t="s">
        <v>304</v>
      </c>
      <c r="N65">
        <f ca="1">MODE(E59:E79)</f>
        <v>3</v>
      </c>
      <c r="P65" s="63" t="s">
        <v>335</v>
      </c>
      <c r="Q65" s="66" t="str">
        <f ca="1">IF(Q63&lt;Q64,"no","yes")</f>
        <v>yes</v>
      </c>
      <c r="S65" s="85" t="s">
        <v>349</v>
      </c>
      <c r="T65" s="85">
        <f ca="1">T64</f>
        <v>21</v>
      </c>
      <c r="U65" s="100">
        <f ca="1">U63-U64</f>
        <v>-1.4761904761904763</v>
      </c>
      <c r="V65" s="85">
        <f t="array" aca="1" ref="V65" ca="1">_xlfn.STDEV.S(D59:D79-E59:E79)</f>
        <v>1.9651729597938097</v>
      </c>
      <c r="W65" s="85">
        <f ca="1">V65/SQRT(T65)</f>
        <v>0.42883589723502585</v>
      </c>
      <c r="X65" s="85">
        <f ca="1">(U63-U64-Z61)/W65</f>
        <v>-3.4423202108508235</v>
      </c>
      <c r="Y65" s="85">
        <f ca="1">T65-1</f>
        <v>20</v>
      </c>
      <c r="Z65" s="85">
        <f ca="1">ABS(U63-U64-Z61)/V65</f>
        <v>0.75117585392858321</v>
      </c>
      <c r="AA65" s="85">
        <f ca="1">SQRT(X65^2/(X65^2+Y65))</f>
        <v>0.60995738063765381</v>
      </c>
      <c r="AC65" t="s">
        <v>361</v>
      </c>
      <c r="AD65" s="74">
        <f ca="1">SUMPRODUCT(--ISNUMBER(D59:D79),--ISNUMBER(E59:E79),--(D59:D79&lt;&gt;E59:E79))</f>
        <v>17</v>
      </c>
    </row>
    <row r="66" spans="3:31" x14ac:dyDescent="0.3">
      <c r="C66" s="2" t="s">
        <v>292</v>
      </c>
      <c r="D66" s="37" cm="1">
        <f t="array" aca="1" ref="D66" ca="1">INDIRECT("'" &amp; C66 &amp; "'!$e$92")</f>
        <v>1</v>
      </c>
      <c r="E66" s="37" cm="1">
        <f t="array" aca="1" ref="E66" ca="1">INDIRECT("'" &amp; C66 &amp; "'!$f$92")</f>
        <v>5</v>
      </c>
      <c r="F66" s="2"/>
      <c r="G66" t="s">
        <v>305</v>
      </c>
      <c r="H66">
        <f ca="1">_xlfn.STDEV.S(D59:D79)</f>
        <v>1.3887301496588271</v>
      </c>
      <c r="M66" t="s">
        <v>305</v>
      </c>
      <c r="N66">
        <f ca="1">_xlfn.STDEV.S(E59:E79)</f>
        <v>1.5916448515084427</v>
      </c>
      <c r="AC66" t="s">
        <v>362</v>
      </c>
      <c r="AD66" s="74">
        <f ca="1">IF(AD68&lt;=AD71,AD68,AD65*(AD65+1)/2)</f>
        <v>17.5</v>
      </c>
    </row>
    <row r="67" spans="3:31" ht="15" thickBot="1" x14ac:dyDescent="0.35">
      <c r="C67" s="2" t="s">
        <v>293</v>
      </c>
      <c r="D67" s="37" cm="1">
        <f t="array" aca="1" ref="D67" ca="1">INDIRECT("'" &amp; C67 &amp; "'!$e$92")</f>
        <v>1</v>
      </c>
      <c r="E67" s="37" cm="1">
        <f t="array" aca="1" ref="E67" ca="1">INDIRECT("'" &amp; C67 &amp; "'!$f$92")</f>
        <v>5</v>
      </c>
      <c r="F67" s="2"/>
      <c r="G67" t="s">
        <v>306</v>
      </c>
      <c r="H67">
        <f ca="1">_xlfn.VAR.S(D59:D79)</f>
        <v>1.9285714285714284</v>
      </c>
      <c r="J67" t="s">
        <v>336</v>
      </c>
      <c r="M67" t="s">
        <v>306</v>
      </c>
      <c r="N67">
        <f ca="1">_xlfn.VAR.S(E59:E79)</f>
        <v>2.5333333333333328</v>
      </c>
      <c r="P67" t="s">
        <v>336</v>
      </c>
      <c r="S67" t="s">
        <v>350</v>
      </c>
      <c r="AC67" t="s">
        <v>363</v>
      </c>
      <c r="AD67" s="74">
        <f ca="1">AD65*(AD65+1)/2-AD66</f>
        <v>135.5</v>
      </c>
    </row>
    <row r="68" spans="3:31" ht="15" thickTop="1" x14ac:dyDescent="0.3">
      <c r="C68" s="2" t="s">
        <v>294</v>
      </c>
      <c r="D68" s="37" cm="1">
        <f t="array" aca="1" ref="D68" ca="1">INDIRECT("'" &amp; C68 &amp; "'!$e$92")</f>
        <v>2</v>
      </c>
      <c r="E68" s="37" cm="1">
        <f t="array" aca="1" ref="E68" ca="1">INDIRECT("'" &amp; C68 &amp; "'!$f$92")</f>
        <v>4</v>
      </c>
      <c r="F68" s="2"/>
      <c r="G68" t="s">
        <v>307</v>
      </c>
      <c r="H68">
        <f ca="1">KURT(D59:D79)</f>
        <v>3.7921594108728542</v>
      </c>
      <c r="M68" t="s">
        <v>307</v>
      </c>
      <c r="N68">
        <f ca="1">KURT(E59:E79)</f>
        <v>-1.0437017057880169</v>
      </c>
      <c r="S68" s="68" t="s">
        <v>351</v>
      </c>
      <c r="T68" s="68" t="s">
        <v>333</v>
      </c>
      <c r="U68" s="68" t="s">
        <v>352</v>
      </c>
      <c r="V68" s="68" t="s">
        <v>353</v>
      </c>
      <c r="W68" s="68" t="s">
        <v>354</v>
      </c>
      <c r="X68" s="68" t="s">
        <v>355</v>
      </c>
      <c r="AC68" t="s">
        <v>364</v>
      </c>
      <c r="AD68" s="75">
        <f ca="1">[1]!SRANK(D59:D79,E59:E79)</f>
        <v>17.5</v>
      </c>
    </row>
    <row r="69" spans="3:31" x14ac:dyDescent="0.3">
      <c r="C69" s="2" t="s">
        <v>295</v>
      </c>
      <c r="D69" s="37" cm="1">
        <f t="array" aca="1" ref="D69" ca="1">INDIRECT("'" &amp; C69 &amp; "'!$e$92")</f>
        <v>1</v>
      </c>
      <c r="E69" s="37" cm="1">
        <f t="array" aca="1" ref="E69" ca="1">INDIRECT("'" &amp; C69 &amp; "'!$f$92")</f>
        <v>6</v>
      </c>
      <c r="F69" s="2"/>
      <c r="G69" t="s">
        <v>308</v>
      </c>
      <c r="H69">
        <f ca="1">SKEW(D59:D79)</f>
        <v>2.0137038349438838</v>
      </c>
      <c r="J69" s="85" t="s">
        <v>337</v>
      </c>
      <c r="K69" s="85">
        <f ca="1">[1]!DAGOSTINO(D59:D79)</f>
        <v>17.891411040118435</v>
      </c>
      <c r="M69" t="s">
        <v>308</v>
      </c>
      <c r="N69">
        <f ca="1">SKEW(E59:E79)</f>
        <v>0.13096436259951522</v>
      </c>
      <c r="P69" s="85" t="s">
        <v>337</v>
      </c>
      <c r="Q69" s="85">
        <f ca="1">[1]!DAGOSTINO(E59:E79)</f>
        <v>2.0313800584776214</v>
      </c>
      <c r="S69" t="s">
        <v>356</v>
      </c>
      <c r="T69">
        <f ca="1">_xlfn.T.DIST.RT(ABS(X65),Y65)</f>
        <v>1.2884699149141594E-3</v>
      </c>
      <c r="U69">
        <f ca="1">_xlfn.T.INV.2T(W61*2,Y65)</f>
        <v>1.7247182429207868</v>
      </c>
      <c r="X69" s="70" t="str">
        <f ca="1">IF(T69&lt;W61,"yes","no")</f>
        <v>yes</v>
      </c>
    </row>
    <row r="70" spans="3:31" x14ac:dyDescent="0.3">
      <c r="C70" s="2" t="s">
        <v>296</v>
      </c>
      <c r="D70" s="37" cm="1">
        <f t="array" aca="1" ref="D70" ca="1">INDIRECT("'" &amp; C70 &amp; "'!$e$92")</f>
        <v>1</v>
      </c>
      <c r="E70" s="37" cm="1">
        <f t="array" aca="1" ref="E70" ca="1">INDIRECT("'" &amp; C70 &amp; "'!$f$92")</f>
        <v>4</v>
      </c>
      <c r="F70" s="2"/>
      <c r="G70" t="s">
        <v>309</v>
      </c>
      <c r="H70">
        <f ca="1">H71-H72</f>
        <v>5</v>
      </c>
      <c r="J70" t="s">
        <v>333</v>
      </c>
      <c r="K70">
        <f ca="1">[1]!DPTEST(D59:D79)</f>
        <v>1.3029551173404652E-4</v>
      </c>
      <c r="M70" t="s">
        <v>309</v>
      </c>
      <c r="N70">
        <f ca="1">N71-N72</f>
        <v>5</v>
      </c>
      <c r="P70" t="s">
        <v>333</v>
      </c>
      <c r="Q70">
        <f ca="1">[1]!DPTEST(E59:E79)</f>
        <v>0.36215244781705869</v>
      </c>
      <c r="S70" t="s">
        <v>357</v>
      </c>
      <c r="T70">
        <f ca="1">_xlfn.T.DIST.2T(ABS(X65),Y65)</f>
        <v>2.5769398298283188E-3</v>
      </c>
      <c r="U70">
        <f ca="1">_xlfn.T.INV.2T(W61,Y65)</f>
        <v>2.0859634472658648</v>
      </c>
      <c r="V70">
        <f ca="1">(U63-U64)-W65*U70</f>
        <v>-2.3707264826982009</v>
      </c>
      <c r="W70">
        <f ca="1">(U63-U64)+W65*U70</f>
        <v>-0.58165446968275158</v>
      </c>
      <c r="X70" s="70" t="str">
        <f ca="1">IF(T70&lt;W61,"yes","no")</f>
        <v>yes</v>
      </c>
      <c r="AD70" s="70" t="s">
        <v>365</v>
      </c>
      <c r="AE70" s="70" t="s">
        <v>366</v>
      </c>
    </row>
    <row r="71" spans="3:31" x14ac:dyDescent="0.3">
      <c r="C71" s="2" t="s">
        <v>297</v>
      </c>
      <c r="D71" s="37" cm="1">
        <f t="array" aca="1" ref="D71" ca="1">INDIRECT("'" &amp; C71 &amp; "'!$e$92")</f>
        <v>1</v>
      </c>
      <c r="E71" s="37" cm="1">
        <f t="array" aca="1" ref="E71" ca="1">INDIRECT("'" &amp; C71 &amp; "'!$f$92")</f>
        <v>3</v>
      </c>
      <c r="F71" s="2"/>
      <c r="G71" s="65" t="s">
        <v>310</v>
      </c>
      <c r="H71" s="65">
        <f ca="1">MAX(D59:D79)</f>
        <v>6</v>
      </c>
      <c r="J71" t="s">
        <v>334</v>
      </c>
      <c r="K71">
        <v>0.05</v>
      </c>
      <c r="M71" t="s">
        <v>310</v>
      </c>
      <c r="N71" s="65">
        <f ca="1">MAX(E59:E79)</f>
        <v>6</v>
      </c>
      <c r="P71" t="s">
        <v>334</v>
      </c>
      <c r="Q71">
        <v>0.05</v>
      </c>
      <c r="S71" s="85"/>
      <c r="T71" s="85"/>
      <c r="U71" s="85"/>
      <c r="V71" s="85"/>
      <c r="W71" s="85"/>
      <c r="X71" s="85"/>
      <c r="AC71" t="s">
        <v>367</v>
      </c>
      <c r="AD71" s="88">
        <f ca="1">AD65*(AD65+1)/4</f>
        <v>76.5</v>
      </c>
    </row>
    <row r="72" spans="3:31" x14ac:dyDescent="0.3">
      <c r="C72" s="2" t="s">
        <v>298</v>
      </c>
      <c r="D72" s="37" cm="1">
        <f t="array" aca="1" ref="D72" ca="1">INDIRECT("'" &amp; C72 &amp; "'!$e$92")</f>
        <v>1</v>
      </c>
      <c r="E72" s="37" cm="1">
        <f t="array" aca="1" ref="E72" ca="1">INDIRECT("'" &amp; C72 &amp; "'!$f$92")</f>
        <v>4</v>
      </c>
      <c r="F72" s="2"/>
      <c r="G72" s="65" t="s">
        <v>311</v>
      </c>
      <c r="H72" s="65">
        <f ca="1">MIN(D59:D79)</f>
        <v>1</v>
      </c>
      <c r="J72" s="66" t="s">
        <v>335</v>
      </c>
      <c r="K72" s="66" t="str">
        <f ca="1">IF(K70&lt;K71,"no","yes")</f>
        <v>no</v>
      </c>
      <c r="M72" t="s">
        <v>311</v>
      </c>
      <c r="N72" s="65">
        <f ca="1">MIN(E59:E79)</f>
        <v>1</v>
      </c>
      <c r="P72" s="63" t="s">
        <v>335</v>
      </c>
      <c r="Q72" s="66" t="str">
        <f ca="1">IF(Q70&lt;Q71,"no","yes")</f>
        <v>yes</v>
      </c>
      <c r="AC72" t="s">
        <v>368</v>
      </c>
      <c r="AD72" s="74">
        <f ca="1">SQRT(AD71*(2*AD65+1)/6-[1]!TiesCorrection(D59:D79,E59:E79,1)/48)</f>
        <v>20.913512378364377</v>
      </c>
      <c r="AE72" t="s">
        <v>369</v>
      </c>
    </row>
    <row r="73" spans="3:31" x14ac:dyDescent="0.3">
      <c r="C73" s="2" t="s">
        <v>299</v>
      </c>
      <c r="D73" s="37" cm="1">
        <f t="array" aca="1" ref="D73" ca="1">INDIRECT("'" &amp; C73 &amp; "'!$e$92")</f>
        <v>2</v>
      </c>
      <c r="E73" s="37" cm="1">
        <f t="array" aca="1" ref="E73" ca="1">INDIRECT("'" &amp; C73 &amp; "'!$f$92")</f>
        <v>3</v>
      </c>
      <c r="F73" s="2"/>
      <c r="G73" s="65" t="s">
        <v>312</v>
      </c>
      <c r="H73" s="65">
        <f ca="1">SUM(D59:D79)</f>
        <v>39</v>
      </c>
      <c r="M73" t="s">
        <v>312</v>
      </c>
      <c r="N73" s="65">
        <f ca="1">SUM(E59:E79)</f>
        <v>70</v>
      </c>
      <c r="AC73" t="s">
        <v>370</v>
      </c>
      <c r="AD73" s="74">
        <f ca="1">ABS(ABS(AD68-AD71)-1/2)/AD72</f>
        <v>2.7972345793296736</v>
      </c>
      <c r="AE73" t="s">
        <v>371</v>
      </c>
    </row>
    <row r="74" spans="3:31" x14ac:dyDescent="0.3">
      <c r="C74" s="2" t="s">
        <v>395</v>
      </c>
      <c r="D74" s="37" cm="1">
        <f t="array" aca="1" ref="D74" ca="1">INDIRECT("'" &amp; C74 &amp; "'!$e$92")</f>
        <v>6</v>
      </c>
      <c r="E74" s="37" cm="1">
        <f t="array" aca="1" ref="E74" ca="1">INDIRECT("'" &amp; C74 &amp; "'!$f$92")</f>
        <v>2</v>
      </c>
      <c r="F74" s="2"/>
      <c r="G74" t="s">
        <v>313</v>
      </c>
      <c r="H74">
        <f ca="1">COUNT(D59:D79)</f>
        <v>21</v>
      </c>
      <c r="M74" t="s">
        <v>313</v>
      </c>
      <c r="N74">
        <f ca="1">COUNT(E59:E79)</f>
        <v>21</v>
      </c>
      <c r="AC74" t="s">
        <v>372</v>
      </c>
      <c r="AD74" s="74">
        <f ca="1">AD73/SQRT(AD65)</f>
        <v>0.67842903707096636</v>
      </c>
    </row>
    <row r="75" spans="3:31" x14ac:dyDescent="0.3">
      <c r="C75" s="2" t="s">
        <v>396</v>
      </c>
      <c r="D75" s="37" cm="1">
        <f t="array" aca="1" ref="D75" ca="1">INDIRECT("'" &amp; C75 &amp; "'!$e$92")</f>
        <v>1</v>
      </c>
      <c r="E75" s="37" cm="1">
        <f t="array" aca="1" ref="E75" ca="1">INDIRECT("'" &amp; C75 &amp; "'!$f$92")</f>
        <v>1</v>
      </c>
      <c r="F75" s="2"/>
      <c r="G75" t="s">
        <v>314</v>
      </c>
      <c r="H75">
        <f ca="1">GEOMEAN(D59:D79)</f>
        <v>1.5397600072719744</v>
      </c>
      <c r="M75" t="s">
        <v>314</v>
      </c>
      <c r="N75">
        <f ca="1">GEOMEAN(E59:E79)</f>
        <v>2.9120223393008411</v>
      </c>
      <c r="AC75" t="s">
        <v>373</v>
      </c>
      <c r="AD75" s="88">
        <f ca="1">1-_xlfn.NORM.S.DIST(AD73,TRUE)</f>
        <v>2.5771048223026671E-3</v>
      </c>
      <c r="AE75" s="104">
        <f ca="1">2*AD75</f>
        <v>5.1542096446053343E-3</v>
      </c>
    </row>
    <row r="76" spans="3:31" x14ac:dyDescent="0.3">
      <c r="C76" s="2" t="s">
        <v>397</v>
      </c>
      <c r="D76" s="37" cm="1">
        <f t="array" aca="1" ref="D76" ca="1">INDIRECT("'" &amp; C76 &amp; "'!$e$92")</f>
        <v>1</v>
      </c>
      <c r="E76" s="37" cm="1">
        <f t="array" aca="1" ref="E76" ca="1">INDIRECT("'" &amp; C76 &amp; "'!$f$92")</f>
        <v>3</v>
      </c>
      <c r="F76" s="2"/>
      <c r="G76" t="s">
        <v>315</v>
      </c>
      <c r="H76">
        <f ca="1">HARMEAN(D59:D79)</f>
        <v>1.351931330472103</v>
      </c>
      <c r="M76" t="s">
        <v>315</v>
      </c>
      <c r="N76">
        <f ca="1">HARMEAN(E59:E79)</f>
        <v>2.4561403508771926</v>
      </c>
      <c r="AC76" t="s">
        <v>374</v>
      </c>
      <c r="AD76" s="74">
        <f ca="1">[1]!SRDIST(AD68,AD65,1)</f>
        <v>1.57928466796875E-3</v>
      </c>
      <c r="AE76" s="77">
        <f ca="1">2*AD76</f>
        <v>3.1585693359375E-3</v>
      </c>
    </row>
    <row r="77" spans="3:31" x14ac:dyDescent="0.3">
      <c r="C77" s="2" t="s">
        <v>398</v>
      </c>
      <c r="D77" s="37" cm="1">
        <f t="array" aca="1" ref="D77" ca="1">INDIRECT("'" &amp; C77 &amp; "'!$e$92")</f>
        <v>3</v>
      </c>
      <c r="E77" s="37" cm="1">
        <f t="array" aca="1" ref="E77" ca="1">INDIRECT("'" &amp; C77 &amp; "'!$f$92")</f>
        <v>5</v>
      </c>
      <c r="F77" s="2"/>
      <c r="G77" t="s">
        <v>316</v>
      </c>
      <c r="H77">
        <f ca="1">AVEDEV(D59:D79)</f>
        <v>0.97959183673469397</v>
      </c>
      <c r="M77" t="s">
        <v>316</v>
      </c>
      <c r="N77">
        <f ca="1">AVEDEV(E59:E79)</f>
        <v>1.3333333333333333</v>
      </c>
      <c r="AC77" t="s">
        <v>375</v>
      </c>
      <c r="AD77" s="75" t="s">
        <v>376</v>
      </c>
      <c r="AE77" s="78" t="s">
        <v>376</v>
      </c>
    </row>
    <row r="78" spans="3:31" x14ac:dyDescent="0.3">
      <c r="C78" s="2" t="s">
        <v>399</v>
      </c>
      <c r="D78" s="37" cm="1">
        <f t="array" aca="1" ref="D78" ca="1">INDIRECT("'" &amp; C78 &amp; "'!$e$92")</f>
        <v>1</v>
      </c>
      <c r="E78" s="37" cm="1">
        <f t="array" aca="1" ref="E78" ca="1">INDIRECT("'" &amp; C78 &amp; "'!$f$92")</f>
        <v>3</v>
      </c>
      <c r="F78" s="2"/>
      <c r="G78" t="s">
        <v>317</v>
      </c>
      <c r="H78">
        <f ca="1">[1]!MAD(D59:D79)</f>
        <v>0</v>
      </c>
      <c r="M78" t="s">
        <v>317</v>
      </c>
      <c r="N78">
        <f ca="1">[1]!MAD(E59:E79)</f>
        <v>1</v>
      </c>
    </row>
    <row r="79" spans="3:31" x14ac:dyDescent="0.3">
      <c r="C79" s="2" t="s">
        <v>400</v>
      </c>
      <c r="D79" s="37" cm="1">
        <f t="array" aca="1" ref="D79" ca="1">INDIRECT("'" &amp; C79 &amp; "'!$e$92")</f>
        <v>2</v>
      </c>
      <c r="E79" s="37" cm="1">
        <f t="array" aca="1" ref="E79" ca="1">INDIRECT("'" &amp; C79 &amp; "'!$f$92")</f>
        <v>2</v>
      </c>
      <c r="G79" s="63" t="s">
        <v>318</v>
      </c>
      <c r="H79" s="63">
        <f ca="1">[1]!IQR(D59:D79,FALSE)</f>
        <v>1</v>
      </c>
      <c r="M79" s="63" t="s">
        <v>318</v>
      </c>
      <c r="N79" s="63">
        <f ca="1">[1]!IQR(E59:E79,FALSE)</f>
        <v>3</v>
      </c>
    </row>
    <row r="83" spans="3:31" x14ac:dyDescent="0.3">
      <c r="C83" s="2"/>
      <c r="D83" s="84" t="s">
        <v>411</v>
      </c>
      <c r="E83" s="83"/>
      <c r="G83" s="107"/>
      <c r="J83" s="107"/>
    </row>
    <row r="84" spans="3:31" x14ac:dyDescent="0.3">
      <c r="C84" s="2"/>
      <c r="D84" s="2"/>
      <c r="E84" s="2"/>
      <c r="F84" s="2"/>
      <c r="G84" s="37"/>
      <c r="I84" s="2"/>
      <c r="J84" s="37"/>
    </row>
    <row r="85" spans="3:31" x14ac:dyDescent="0.3">
      <c r="C85" s="2" t="s">
        <v>285</v>
      </c>
      <c r="D85" s="37" cm="1">
        <f t="array" aca="1" ref="D85" ca="1">INDIRECT("'" &amp; C85 &amp; "'!$e$93")</f>
        <v>1</v>
      </c>
      <c r="E85" s="37" cm="1">
        <f t="array" aca="1" ref="E85" ca="1">INDIRECT("'" &amp; C85 &amp; "'!$f$93")</f>
        <v>2</v>
      </c>
      <c r="F85" s="2"/>
      <c r="G85" t="s">
        <v>300</v>
      </c>
      <c r="J85" t="s">
        <v>331</v>
      </c>
      <c r="M85" t="s">
        <v>300</v>
      </c>
      <c r="P85" t="s">
        <v>331</v>
      </c>
      <c r="S85" t="s">
        <v>338</v>
      </c>
      <c r="AC85" t="s">
        <v>358</v>
      </c>
    </row>
    <row r="86" spans="3:31" x14ac:dyDescent="0.3">
      <c r="C86" s="2" t="s">
        <v>286</v>
      </c>
      <c r="D86" s="37" cm="1">
        <f t="array" aca="1" ref="D86" ca="1">INDIRECT("'" &amp; C86 &amp; "'!$e$93")</f>
        <v>2</v>
      </c>
      <c r="E86" s="37" cm="1">
        <f t="array" aca="1" ref="E86" ca="1">INDIRECT("'" &amp; C86 &amp; "'!$f$93")</f>
        <v>3</v>
      </c>
      <c r="F86" s="2"/>
    </row>
    <row r="87" spans="3:31" ht="15" thickBot="1" x14ac:dyDescent="0.35">
      <c r="C87" s="2" t="s">
        <v>287</v>
      </c>
      <c r="D87" s="37" cm="1">
        <f t="array" aca="1" ref="D87" ca="1">INDIRECT("'" &amp; C87 &amp; "'!$e$93")</f>
        <v>2</v>
      </c>
      <c r="E87" s="37" cm="1">
        <f t="array" aca="1" ref="E87" ca="1">INDIRECT("'" &amp; C87 &amp; "'!$f$93")</f>
        <v>1</v>
      </c>
      <c r="F87" s="2"/>
      <c r="G87" s="64"/>
      <c r="H87" s="64" t="s">
        <v>379</v>
      </c>
      <c r="I87" s="79"/>
      <c r="J87" s="64"/>
      <c r="K87" s="64" t="s">
        <v>379</v>
      </c>
      <c r="M87" s="64"/>
      <c r="N87" s="64" t="s">
        <v>379</v>
      </c>
      <c r="P87" s="64"/>
      <c r="Q87" s="64" t="s">
        <v>379</v>
      </c>
      <c r="S87" t="s">
        <v>339</v>
      </c>
      <c r="V87" t="s">
        <v>340</v>
      </c>
      <c r="W87">
        <v>0.05</v>
      </c>
      <c r="Y87" t="s">
        <v>341</v>
      </c>
      <c r="Z87">
        <v>0</v>
      </c>
      <c r="AD87" t="s">
        <v>381</v>
      </c>
      <c r="AE87" t="s">
        <v>382</v>
      </c>
    </row>
    <row r="88" spans="3:31" ht="15" thickTop="1" x14ac:dyDescent="0.3">
      <c r="C88" s="2" t="s">
        <v>288</v>
      </c>
      <c r="D88" s="37" cm="1">
        <f t="array" aca="1" ref="D88" ca="1">INDIRECT("'" &amp; C88 &amp; "'!$e$93")</f>
        <v>1</v>
      </c>
      <c r="E88" s="37" cm="1">
        <f t="array" aca="1" ref="E88" ca="1">INDIRECT("'" &amp; C88 &amp; "'!$f$93")</f>
        <v>1</v>
      </c>
      <c r="F88" s="2"/>
      <c r="G88" s="65" t="s">
        <v>301</v>
      </c>
      <c r="H88" s="65">
        <f ca="1">AVERAGE(D85:D105)</f>
        <v>1.8095238095238095</v>
      </c>
      <c r="J88" t="s">
        <v>332</v>
      </c>
      <c r="K88">
        <f ca="1">[1]!SHAPIRO(D85:D105)</f>
        <v>0.6428724543211175</v>
      </c>
      <c r="M88" t="s">
        <v>301</v>
      </c>
      <c r="N88" s="65">
        <f ca="1">AVERAGE(E85:E105)</f>
        <v>1.9047619047619047</v>
      </c>
      <c r="P88" t="s">
        <v>332</v>
      </c>
      <c r="Q88">
        <f ca="1">[1]!SHAPIRO(E85:E105)</f>
        <v>0.779871387568284</v>
      </c>
      <c r="S88" s="68" t="s">
        <v>342</v>
      </c>
      <c r="T88" s="68" t="s">
        <v>313</v>
      </c>
      <c r="U88" s="68" t="s">
        <v>301</v>
      </c>
      <c r="V88" s="68" t="s">
        <v>343</v>
      </c>
      <c r="W88" s="68" t="s">
        <v>344</v>
      </c>
      <c r="X88" s="68" t="s">
        <v>345</v>
      </c>
      <c r="Y88" s="68" t="s">
        <v>346</v>
      </c>
      <c r="Z88" s="68" t="s">
        <v>347</v>
      </c>
      <c r="AA88" s="68" t="s">
        <v>348</v>
      </c>
      <c r="AC88" t="s">
        <v>359</v>
      </c>
      <c r="AD88" s="102">
        <f ca="1">MEDIAN(D85:D105)</f>
        <v>2</v>
      </c>
      <c r="AE88" s="103">
        <f ca="1">MEDIAN(E85:E105)</f>
        <v>2</v>
      </c>
    </row>
    <row r="89" spans="3:31" x14ac:dyDescent="0.3">
      <c r="C89" s="2" t="s">
        <v>289</v>
      </c>
      <c r="D89" s="37" cm="1">
        <f t="array" aca="1" ref="D89" ca="1">INDIRECT("'" &amp; C89 &amp; "'!$e$93")</f>
        <v>2</v>
      </c>
      <c r="E89" s="37" cm="1">
        <f t="array" aca="1" ref="E89" ca="1">INDIRECT("'" &amp; C89 &amp; "'!$f$93")</f>
        <v>1</v>
      </c>
      <c r="F89" s="2"/>
      <c r="G89" t="s">
        <v>302</v>
      </c>
      <c r="H89">
        <f ca="1">_xlfn.STDEV.S(D85:D105)/SQRT(COUNT(D85:D105))</f>
        <v>0.26384562242276327</v>
      </c>
      <c r="J89" t="s">
        <v>333</v>
      </c>
      <c r="K89">
        <f ca="1">[1]!SWTEST(D85:D105)</f>
        <v>5.7878838357616758E-6</v>
      </c>
      <c r="M89" t="s">
        <v>302</v>
      </c>
      <c r="N89">
        <f ca="1">_xlfn.STDEV.S(E85:E105)/SQRT(COUNT(E85:E105))</f>
        <v>0.23809523809523808</v>
      </c>
      <c r="P89" t="s">
        <v>333</v>
      </c>
      <c r="Q89">
        <f ca="1">[1]!SWTEST(E85:E105)</f>
        <v>3.2818554985791781E-4</v>
      </c>
      <c r="S89" t="s">
        <v>379</v>
      </c>
      <c r="T89">
        <f ca="1">COUNT(D85:D105)</f>
        <v>21</v>
      </c>
      <c r="U89" s="65">
        <f ca="1">AVERAGE(D85:D105)</f>
        <v>1.8095238095238095</v>
      </c>
      <c r="V89">
        <f ca="1">_xlfn.STDEV.S(D85:D105)</f>
        <v>1.2090925365350504</v>
      </c>
    </row>
    <row r="90" spans="3:31" x14ac:dyDescent="0.3">
      <c r="C90" s="2" t="s">
        <v>290</v>
      </c>
      <c r="D90" s="37" cm="1">
        <f t="array" aca="1" ref="D90" ca="1">INDIRECT("'" &amp; C90 &amp; "'!$e$93")</f>
        <v>2</v>
      </c>
      <c r="E90" s="37" cm="1">
        <f t="array" aca="1" ref="E90" ca="1">INDIRECT("'" &amp; C90 &amp; "'!$f$93")</f>
        <v>2</v>
      </c>
      <c r="F90" s="2"/>
      <c r="G90" s="65" t="s">
        <v>303</v>
      </c>
      <c r="H90" s="65">
        <f ca="1">MEDIAN(D85:D105)</f>
        <v>2</v>
      </c>
      <c r="J90" t="s">
        <v>334</v>
      </c>
      <c r="K90">
        <v>0.05</v>
      </c>
      <c r="M90" t="s">
        <v>303</v>
      </c>
      <c r="N90" s="65">
        <f ca="1">MEDIAN(E85:E105)</f>
        <v>2</v>
      </c>
      <c r="P90" t="s">
        <v>334</v>
      </c>
      <c r="Q90">
        <v>0.05</v>
      </c>
      <c r="S90" t="s">
        <v>380</v>
      </c>
      <c r="T90">
        <f ca="1">COUNT(E85:E105)</f>
        <v>21</v>
      </c>
      <c r="U90" s="65">
        <f ca="1">AVERAGE(E85:E105)</f>
        <v>1.9047619047619047</v>
      </c>
      <c r="V90">
        <f ca="1">_xlfn.STDEV.S(E85:E105)</f>
        <v>1.0910894511799618</v>
      </c>
      <c r="AC90" t="s">
        <v>360</v>
      </c>
      <c r="AD90" s="88">
        <f ca="1">SUMPRODUCT(--ISNUMBER(D85:D105),--ISNUMBER(E85:E105))</f>
        <v>21</v>
      </c>
    </row>
    <row r="91" spans="3:31" x14ac:dyDescent="0.3">
      <c r="C91" s="2" t="s">
        <v>291</v>
      </c>
      <c r="D91" s="37" cm="1">
        <f t="array" aca="1" ref="D91" ca="1">INDIRECT("'" &amp; C91 &amp; "'!$e$93")</f>
        <v>1</v>
      </c>
      <c r="E91" s="37" cm="1">
        <f t="array" aca="1" ref="E91" ca="1">INDIRECT("'" &amp; C91 &amp; "'!$f$93")</f>
        <v>1</v>
      </c>
      <c r="F91" s="2"/>
      <c r="G91" t="s">
        <v>304</v>
      </c>
      <c r="H91">
        <f ca="1">MODE(D85:D105)</f>
        <v>1</v>
      </c>
      <c r="J91" s="66" t="s">
        <v>335</v>
      </c>
      <c r="K91" s="66" t="str">
        <f ca="1">IF(K89&lt;K90,"no","yes")</f>
        <v>no</v>
      </c>
      <c r="M91" t="s">
        <v>304</v>
      </c>
      <c r="N91">
        <f ca="1">MODE(E85:E105)</f>
        <v>1</v>
      </c>
      <c r="P91" s="63" t="s">
        <v>335</v>
      </c>
      <c r="Q91" s="66" t="str">
        <f ca="1">IF(Q89&lt;Q90,"no","yes")</f>
        <v>no</v>
      </c>
      <c r="S91" s="85" t="s">
        <v>349</v>
      </c>
      <c r="T91" s="85">
        <f ca="1">T90</f>
        <v>21</v>
      </c>
      <c r="U91" s="100">
        <f ca="1">U89-U90</f>
        <v>-9.5238095238095122E-2</v>
      </c>
      <c r="V91" s="85">
        <f t="array" aca="1" ref="V91" ca="1">_xlfn.STDEV.S(D85:D105-E85:E105)</f>
        <v>1.6704718466577611</v>
      </c>
      <c r="W91" s="85">
        <f ca="1">V91/SQRT(T91)</f>
        <v>0.36452684207627883</v>
      </c>
      <c r="X91" s="85">
        <f ca="1">(U89-U90-Z87)/W91</f>
        <v>-0.26126497213658173</v>
      </c>
      <c r="Y91" s="85">
        <f ca="1">T91-1</f>
        <v>20</v>
      </c>
      <c r="Z91" s="85">
        <f ca="1">ABS(U89-U90-Z87)/V91</f>
        <v>5.7012691012210209E-2</v>
      </c>
      <c r="AA91" s="85">
        <f ca="1">SQRT(X91^2/(X91^2+Y91))</f>
        <v>5.8321184351980353E-2</v>
      </c>
      <c r="AC91" t="s">
        <v>361</v>
      </c>
      <c r="AD91" s="74">
        <f ca="1">SUMPRODUCT(--ISNUMBER(D85:D105),--ISNUMBER(E85:E105),--(D85:D105&lt;&gt;E85:E105))</f>
        <v>12</v>
      </c>
    </row>
    <row r="92" spans="3:31" x14ac:dyDescent="0.3">
      <c r="C92" s="2" t="s">
        <v>292</v>
      </c>
      <c r="D92" s="37" cm="1">
        <f t="array" aca="1" ref="D92" ca="1">INDIRECT("'" &amp; C92 &amp; "'!$e$93")</f>
        <v>1</v>
      </c>
      <c r="E92" s="37" cm="1">
        <f t="array" aca="1" ref="E92" ca="1">INDIRECT("'" &amp; C92 &amp; "'!$f$93")</f>
        <v>2</v>
      </c>
      <c r="F92" s="2"/>
      <c r="G92" t="s">
        <v>305</v>
      </c>
      <c r="H92">
        <f ca="1">_xlfn.STDEV.S(D85:D105)</f>
        <v>1.2090925365350504</v>
      </c>
      <c r="M92" t="s">
        <v>305</v>
      </c>
      <c r="N92">
        <f ca="1">_xlfn.STDEV.S(E85:E105)</f>
        <v>1.0910894511799618</v>
      </c>
      <c r="AC92" t="s">
        <v>362</v>
      </c>
      <c r="AD92" s="74">
        <f ca="1">IF(AD94&lt;=AD97,AD94,AD91*(AD91+1)/2)</f>
        <v>33.5</v>
      </c>
    </row>
    <row r="93" spans="3:31" ht="15" thickBot="1" x14ac:dyDescent="0.35">
      <c r="C93" s="2" t="s">
        <v>293</v>
      </c>
      <c r="D93" s="37" cm="1">
        <f t="array" aca="1" ref="D93" ca="1">INDIRECT("'" &amp; C93 &amp; "'!$e$93")</f>
        <v>1</v>
      </c>
      <c r="E93" s="37" cm="1">
        <f t="array" aca="1" ref="E93" ca="1">INDIRECT("'" &amp; C93 &amp; "'!$f$93")</f>
        <v>5</v>
      </c>
      <c r="F93" s="2"/>
      <c r="G93" t="s">
        <v>306</v>
      </c>
      <c r="H93">
        <f ca="1">_xlfn.VAR.S(D85:D105)</f>
        <v>1.461904761904762</v>
      </c>
      <c r="J93" t="s">
        <v>336</v>
      </c>
      <c r="M93" t="s">
        <v>306</v>
      </c>
      <c r="N93">
        <f ca="1">_xlfn.VAR.S(E85:E105)</f>
        <v>1.1904761904761905</v>
      </c>
      <c r="P93" t="s">
        <v>336</v>
      </c>
      <c r="S93" t="s">
        <v>350</v>
      </c>
      <c r="AC93" t="s">
        <v>363</v>
      </c>
      <c r="AD93" s="74">
        <f ca="1">AD91*(AD91+1)/2-AD92</f>
        <v>44.5</v>
      </c>
    </row>
    <row r="94" spans="3:31" ht="15" thickTop="1" x14ac:dyDescent="0.3">
      <c r="C94" s="2" t="s">
        <v>294</v>
      </c>
      <c r="D94" s="37" cm="1">
        <f t="array" aca="1" ref="D94" ca="1">INDIRECT("'" &amp; C94 &amp; "'!$e$93")</f>
        <v>4</v>
      </c>
      <c r="E94" s="37" cm="1">
        <f t="array" aca="1" ref="E94" ca="1">INDIRECT("'" &amp; C94 &amp; "'!$f$93")</f>
        <v>1</v>
      </c>
      <c r="F94" s="2"/>
      <c r="G94" t="s">
        <v>307</v>
      </c>
      <c r="H94">
        <f ca="1">KURT(D85:D105)</f>
        <v>7.1003796773496468</v>
      </c>
      <c r="M94" t="s">
        <v>307</v>
      </c>
      <c r="N94">
        <f ca="1">KURT(E85:E105)</f>
        <v>2.2087578947368418</v>
      </c>
      <c r="S94" s="68" t="s">
        <v>351</v>
      </c>
      <c r="T94" s="68" t="s">
        <v>333</v>
      </c>
      <c r="U94" s="68" t="s">
        <v>352</v>
      </c>
      <c r="V94" s="68" t="s">
        <v>353</v>
      </c>
      <c r="W94" s="68" t="s">
        <v>354</v>
      </c>
      <c r="X94" s="68" t="s">
        <v>355</v>
      </c>
      <c r="AC94" t="s">
        <v>364</v>
      </c>
      <c r="AD94" s="75">
        <f ca="1">[1]!SRANK(D85:D105,E85:E105)</f>
        <v>33.5</v>
      </c>
    </row>
    <row r="95" spans="3:31" x14ac:dyDescent="0.3">
      <c r="C95" s="2" t="s">
        <v>295</v>
      </c>
      <c r="D95" s="37" cm="1">
        <f t="array" aca="1" ref="D95" ca="1">INDIRECT("'" &amp; C95 &amp; "'!$e$93")</f>
        <v>1</v>
      </c>
      <c r="E95" s="37" cm="1">
        <f t="array" aca="1" ref="E95" ca="1">INDIRECT("'" &amp; C95 &amp; "'!$f$93")</f>
        <v>1</v>
      </c>
      <c r="F95" s="2"/>
      <c r="G95" t="s">
        <v>308</v>
      </c>
      <c r="H95">
        <f ca="1">SKEW(D85:D105)</f>
        <v>2.4653190824720936</v>
      </c>
      <c r="J95" s="85" t="s">
        <v>337</v>
      </c>
      <c r="K95" s="85">
        <f ca="1">[1]!DAGOSTINO(D85:D105)</f>
        <v>26.428948409674391</v>
      </c>
      <c r="M95" t="s">
        <v>308</v>
      </c>
      <c r="N95">
        <f ca="1">SKEW(E85:E105)</f>
        <v>1.4814743657208818</v>
      </c>
      <c r="P95" s="85" t="s">
        <v>337</v>
      </c>
      <c r="Q95" s="85">
        <f ca="1">[1]!DAGOSTINO(E85:E105)</f>
        <v>10.831989413592293</v>
      </c>
      <c r="S95" t="s">
        <v>356</v>
      </c>
      <c r="T95">
        <f ca="1">_xlfn.T.DIST.RT(ABS(X91),Y91)</f>
        <v>0.39827985457409576</v>
      </c>
      <c r="U95">
        <f ca="1">_xlfn.T.INV.2T(W87*2,Y91)</f>
        <v>1.7247182429207868</v>
      </c>
      <c r="X95" s="70" t="str">
        <f ca="1">IF(T95&lt;W87,"yes","no")</f>
        <v>no</v>
      </c>
    </row>
    <row r="96" spans="3:31" x14ac:dyDescent="0.3">
      <c r="C96" s="2" t="s">
        <v>296</v>
      </c>
      <c r="D96" s="37" cm="1">
        <f t="array" aca="1" ref="D96" ca="1">INDIRECT("'" &amp; C96 &amp; "'!$e$93")</f>
        <v>1</v>
      </c>
      <c r="E96" s="37" cm="1">
        <f t="array" aca="1" ref="E96" ca="1">INDIRECT("'" &amp; C96 &amp; "'!$f$93")</f>
        <v>2</v>
      </c>
      <c r="F96" s="2"/>
      <c r="G96" t="s">
        <v>309</v>
      </c>
      <c r="H96">
        <f ca="1">H97-H98</f>
        <v>5</v>
      </c>
      <c r="J96" t="s">
        <v>333</v>
      </c>
      <c r="K96">
        <f ca="1">[1]!DPTEST(D85:D105)</f>
        <v>1.8240081377518536E-6</v>
      </c>
      <c r="M96" t="s">
        <v>309</v>
      </c>
      <c r="N96">
        <f ca="1">N97-N98</f>
        <v>4</v>
      </c>
      <c r="P96" t="s">
        <v>333</v>
      </c>
      <c r="Q96">
        <f ca="1">[1]!DPTEST(E85:E105)</f>
        <v>4.4449142266410613E-3</v>
      </c>
      <c r="S96" t="s">
        <v>357</v>
      </c>
      <c r="T96">
        <f ca="1">_xlfn.T.DIST.2T(ABS(X91),Y91)</f>
        <v>0.79655970914819152</v>
      </c>
      <c r="U96">
        <f ca="1">_xlfn.T.INV.2T(W87,Y91)</f>
        <v>2.0859634472658648</v>
      </c>
      <c r="V96">
        <f ca="1">(U89-U90)-W91*U96</f>
        <v>-0.85562776335646917</v>
      </c>
      <c r="W96">
        <f ca="1">(U89-U90)+W91*U96</f>
        <v>0.66515157288027893</v>
      </c>
      <c r="X96" s="70" t="str">
        <f ca="1">IF(T96&lt;W87,"yes","no")</f>
        <v>no</v>
      </c>
      <c r="AD96" s="70" t="s">
        <v>365</v>
      </c>
      <c r="AE96" s="70" t="s">
        <v>366</v>
      </c>
    </row>
    <row r="97" spans="3:31" x14ac:dyDescent="0.3">
      <c r="C97" s="2" t="s">
        <v>297</v>
      </c>
      <c r="D97" s="37" cm="1">
        <f t="array" aca="1" ref="D97" ca="1">INDIRECT("'" &amp; C97 &amp; "'!$e$93")</f>
        <v>2</v>
      </c>
      <c r="E97" s="37" cm="1">
        <f t="array" aca="1" ref="E97" ca="1">INDIRECT("'" &amp; C97 &amp; "'!$f$93")</f>
        <v>2</v>
      </c>
      <c r="F97" s="2"/>
      <c r="G97" s="65" t="s">
        <v>310</v>
      </c>
      <c r="H97" s="65">
        <f ca="1">MAX(D85:D105)</f>
        <v>6</v>
      </c>
      <c r="J97" t="s">
        <v>334</v>
      </c>
      <c r="K97">
        <v>0.05</v>
      </c>
      <c r="M97" t="s">
        <v>310</v>
      </c>
      <c r="N97" s="65">
        <f ca="1">MAX(E85:E105)</f>
        <v>5</v>
      </c>
      <c r="P97" t="s">
        <v>334</v>
      </c>
      <c r="Q97">
        <v>0.05</v>
      </c>
      <c r="S97" s="85"/>
      <c r="T97" s="85"/>
      <c r="U97" s="85"/>
      <c r="V97" s="85"/>
      <c r="W97" s="85"/>
      <c r="X97" s="85"/>
      <c r="AC97" t="s">
        <v>367</v>
      </c>
      <c r="AD97" s="88">
        <f ca="1">AD91*(AD91+1)/4</f>
        <v>39</v>
      </c>
    </row>
    <row r="98" spans="3:31" x14ac:dyDescent="0.3">
      <c r="C98" s="2" t="s">
        <v>298</v>
      </c>
      <c r="D98" s="37" cm="1">
        <f t="array" aca="1" ref="D98" ca="1">INDIRECT("'" &amp; C98 &amp; "'!$e$93")</f>
        <v>1</v>
      </c>
      <c r="E98" s="37" cm="1">
        <f t="array" aca="1" ref="E98" ca="1">INDIRECT("'" &amp; C98 &amp; "'!$f$93")</f>
        <v>1</v>
      </c>
      <c r="F98" s="2"/>
      <c r="G98" s="65" t="s">
        <v>311</v>
      </c>
      <c r="H98" s="65">
        <f ca="1">MIN(D85:D105)</f>
        <v>1</v>
      </c>
      <c r="J98" s="66" t="s">
        <v>335</v>
      </c>
      <c r="K98" s="66" t="str">
        <f ca="1">IF(K96&lt;K97,"no","yes")</f>
        <v>no</v>
      </c>
      <c r="M98" t="s">
        <v>311</v>
      </c>
      <c r="N98" s="65">
        <f ca="1">MIN(E85:E105)</f>
        <v>1</v>
      </c>
      <c r="P98" s="63" t="s">
        <v>335</v>
      </c>
      <c r="Q98" s="66" t="str">
        <f ca="1">IF(Q96&lt;Q97,"no","yes")</f>
        <v>no</v>
      </c>
      <c r="AC98" t="s">
        <v>368</v>
      </c>
      <c r="AD98" s="74">
        <f ca="1">SQRT(AD97*(2*AD91+1)/6-[1]!TiesCorrection(D85:D105,E85:E105,1)/48)</f>
        <v>12.459935794377111</v>
      </c>
      <c r="AE98" t="s">
        <v>369</v>
      </c>
    </row>
    <row r="99" spans="3:31" x14ac:dyDescent="0.3">
      <c r="C99" s="2" t="s">
        <v>299</v>
      </c>
      <c r="D99" s="37" cm="1">
        <f t="array" aca="1" ref="D99" ca="1">INDIRECT("'" &amp; C99 &amp; "'!$e$93")</f>
        <v>2</v>
      </c>
      <c r="E99" s="37" cm="1">
        <f t="array" aca="1" ref="E99" ca="1">INDIRECT("'" &amp; C99 &amp; "'!$f$93")</f>
        <v>2</v>
      </c>
      <c r="F99" s="2"/>
      <c r="G99" s="65" t="s">
        <v>312</v>
      </c>
      <c r="H99" s="65">
        <f ca="1">SUM(D85:D105)</f>
        <v>38</v>
      </c>
      <c r="M99" t="s">
        <v>312</v>
      </c>
      <c r="N99" s="65">
        <f ca="1">SUM(E85:E105)</f>
        <v>40</v>
      </c>
      <c r="AC99" t="s">
        <v>370</v>
      </c>
      <c r="AD99" s="74">
        <f ca="1">ABS(ABS(AD94-AD97)-1/2)/AD98</f>
        <v>0.40128617695256402</v>
      </c>
      <c r="AE99" t="s">
        <v>371</v>
      </c>
    </row>
    <row r="100" spans="3:31" x14ac:dyDescent="0.3">
      <c r="C100" s="2" t="s">
        <v>395</v>
      </c>
      <c r="D100" s="37" cm="1">
        <f t="array" aca="1" ref="D100" ca="1">INDIRECT("'" &amp; C100 &amp; "'!$e$93")</f>
        <v>6</v>
      </c>
      <c r="E100" s="37" cm="1">
        <f t="array" aca="1" ref="E100" ca="1">INDIRECT("'" &amp; C100 &amp; "'!$f$93")</f>
        <v>2</v>
      </c>
      <c r="F100" s="2"/>
      <c r="G100" t="s">
        <v>313</v>
      </c>
      <c r="H100">
        <f ca="1">COUNT(D85:D105)</f>
        <v>21</v>
      </c>
      <c r="M100" t="s">
        <v>313</v>
      </c>
      <c r="N100">
        <f ca="1">COUNT(E85:E105)</f>
        <v>21</v>
      </c>
      <c r="AC100" t="s">
        <v>372</v>
      </c>
      <c r="AD100" s="74">
        <f ca="1">AD99/SQRT(AD91)</f>
        <v>0.11584134114281933</v>
      </c>
    </row>
    <row r="101" spans="3:31" x14ac:dyDescent="0.3">
      <c r="C101" s="2" t="s">
        <v>396</v>
      </c>
      <c r="D101" s="37" cm="1">
        <f t="array" aca="1" ref="D101" ca="1">INDIRECT("'" &amp; C101 &amp; "'!$e$93")</f>
        <v>2</v>
      </c>
      <c r="E101" s="37" cm="1">
        <f t="array" aca="1" ref="E101" ca="1">INDIRECT("'" &amp; C101 &amp; "'!$f$93")</f>
        <v>1</v>
      </c>
      <c r="F101" s="2"/>
      <c r="G101" t="s">
        <v>314</v>
      </c>
      <c r="H101">
        <f ca="1">GEOMEAN(D85:D105)</f>
        <v>1.5658032859512316</v>
      </c>
      <c r="M101" t="s">
        <v>314</v>
      </c>
      <c r="N101">
        <f ca="1">GEOMEAN(E85:E105)</f>
        <v>1.6675237279322708</v>
      </c>
      <c r="AC101" t="s">
        <v>373</v>
      </c>
      <c r="AD101" s="88">
        <f ca="1">1-_xlfn.NORM.S.DIST(AD99,TRUE)</f>
        <v>0.34410471977481083</v>
      </c>
      <c r="AE101" s="104">
        <f ca="1">2*AD101</f>
        <v>0.68820943954962166</v>
      </c>
    </row>
    <row r="102" spans="3:31" x14ac:dyDescent="0.3">
      <c r="C102" s="2" t="s">
        <v>397</v>
      </c>
      <c r="D102" s="37" cm="1">
        <f t="array" aca="1" ref="D102" ca="1">INDIRECT("'" &amp; C102 &amp; "'!$e$93")</f>
        <v>1</v>
      </c>
      <c r="E102" s="37" cm="1">
        <f t="array" aca="1" ref="E102" ca="1">INDIRECT("'" &amp; C102 &amp; "'!$f$93")</f>
        <v>3</v>
      </c>
      <c r="F102" s="2"/>
      <c r="G102" t="s">
        <v>315</v>
      </c>
      <c r="H102">
        <f ca="1">HARMEAN(D85:D105)</f>
        <v>1.4078212290502794</v>
      </c>
      <c r="M102" t="s">
        <v>315</v>
      </c>
      <c r="N102">
        <f ca="1">HARMEAN(E85:E105)</f>
        <v>1.4876033057851239</v>
      </c>
      <c r="AC102" t="s">
        <v>374</v>
      </c>
      <c r="AD102" s="74">
        <f ca="1">[1]!SRDIST(AD94,AD91,1)</f>
        <v>0.338623046875</v>
      </c>
      <c r="AE102" s="77">
        <f ca="1">2*AD102</f>
        <v>0.67724609375</v>
      </c>
    </row>
    <row r="103" spans="3:31" x14ac:dyDescent="0.3">
      <c r="C103" s="2" t="s">
        <v>398</v>
      </c>
      <c r="D103" s="37" cm="1">
        <f t="array" aca="1" ref="D103" ca="1">INDIRECT("'" &amp; C103 &amp; "'!$e$93")</f>
        <v>2</v>
      </c>
      <c r="E103" s="37" cm="1">
        <f t="array" aca="1" ref="E103" ca="1">INDIRECT("'" &amp; C103 &amp; "'!$f$93")</f>
        <v>4</v>
      </c>
      <c r="F103" s="2"/>
      <c r="G103" t="s">
        <v>316</v>
      </c>
      <c r="H103">
        <f ca="1">AVEDEV(D85:D105)</f>
        <v>0.77097505668934241</v>
      </c>
      <c r="M103" t="s">
        <v>316</v>
      </c>
      <c r="N103">
        <f ca="1">AVEDEV(E85:E105)</f>
        <v>0.77551020408163263</v>
      </c>
      <c r="AC103" t="s">
        <v>375</v>
      </c>
      <c r="AD103" s="75" t="s">
        <v>376</v>
      </c>
      <c r="AE103" s="78" t="s">
        <v>376</v>
      </c>
    </row>
    <row r="104" spans="3:31" x14ac:dyDescent="0.3">
      <c r="C104" s="2" t="s">
        <v>399</v>
      </c>
      <c r="D104" s="37" cm="1">
        <f t="array" aca="1" ref="D104" ca="1">INDIRECT("'" &amp; C104 &amp; "'!$e$93")</f>
        <v>1</v>
      </c>
      <c r="E104" s="37" cm="1">
        <f t="array" aca="1" ref="E104" ca="1">INDIRECT("'" &amp; C104 &amp; "'!$f$93")</f>
        <v>1</v>
      </c>
      <c r="F104" s="2"/>
      <c r="G104" t="s">
        <v>317</v>
      </c>
      <c r="H104">
        <f ca="1">[1]!MAD(D85:D105)</f>
        <v>1</v>
      </c>
      <c r="M104" t="s">
        <v>317</v>
      </c>
      <c r="N104">
        <f ca="1">[1]!MAD(E85:E105)</f>
        <v>1</v>
      </c>
    </row>
    <row r="105" spans="3:31" x14ac:dyDescent="0.3">
      <c r="C105" s="2" t="s">
        <v>400</v>
      </c>
      <c r="D105" s="37" cm="1">
        <f t="array" aca="1" ref="D105" ca="1">INDIRECT("'" &amp; C105 &amp; "'!$e$93")</f>
        <v>2</v>
      </c>
      <c r="E105" s="37" cm="1">
        <f t="array" aca="1" ref="E105" ca="1">INDIRECT("'" &amp; C105 &amp; "'!$f$93")</f>
        <v>2</v>
      </c>
      <c r="G105" s="63" t="s">
        <v>318</v>
      </c>
      <c r="H105" s="63">
        <f ca="1">[1]!IQR(D85:D105,FALSE)</f>
        <v>1</v>
      </c>
      <c r="M105" s="63" t="s">
        <v>318</v>
      </c>
      <c r="N105" s="63">
        <f ca="1">[1]!IQR(E85:E105,FALSE)</f>
        <v>1</v>
      </c>
    </row>
    <row r="110" spans="3:31" x14ac:dyDescent="0.3">
      <c r="C110" s="2"/>
      <c r="D110" s="84" t="s">
        <v>413</v>
      </c>
      <c r="E110" s="83"/>
      <c r="G110" s="107"/>
      <c r="J110" s="107"/>
    </row>
    <row r="111" spans="3:31" x14ac:dyDescent="0.3">
      <c r="C111" s="2"/>
      <c r="D111" s="2"/>
      <c r="E111" s="2"/>
      <c r="F111" s="2"/>
      <c r="G111" s="37"/>
      <c r="I111" s="2"/>
      <c r="J111" s="37"/>
    </row>
    <row r="112" spans="3:31" x14ac:dyDescent="0.3">
      <c r="C112" s="2" t="s">
        <v>285</v>
      </c>
      <c r="D112" s="37" cm="1">
        <f t="array" aca="1" ref="D112" ca="1">INDIRECT("'" &amp; C112 &amp; "'!$e$94")</f>
        <v>6</v>
      </c>
      <c r="E112" s="37" cm="1">
        <f t="array" aca="1" ref="E112" ca="1">INDIRECT("'" &amp; C112 &amp; "'!$f$94")</f>
        <v>3</v>
      </c>
      <c r="F112" s="2"/>
      <c r="G112" t="s">
        <v>300</v>
      </c>
      <c r="J112" t="s">
        <v>331</v>
      </c>
      <c r="M112" t="s">
        <v>300</v>
      </c>
      <c r="P112" t="s">
        <v>331</v>
      </c>
      <c r="S112" t="s">
        <v>338</v>
      </c>
      <c r="AC112" t="s">
        <v>358</v>
      </c>
    </row>
    <row r="113" spans="3:31" x14ac:dyDescent="0.3">
      <c r="C113" s="2" t="s">
        <v>286</v>
      </c>
      <c r="D113" s="37" cm="1">
        <f t="array" aca="1" ref="D113" ca="1">INDIRECT("'" &amp; C113 &amp; "'!$e$94")</f>
        <v>3</v>
      </c>
      <c r="E113" s="37" cm="1">
        <f t="array" aca="1" ref="E113" ca="1">INDIRECT("'" &amp; C113 &amp; "'!$f$94")</f>
        <v>3</v>
      </c>
      <c r="F113" s="2"/>
    </row>
    <row r="114" spans="3:31" ht="15" thickBot="1" x14ac:dyDescent="0.35">
      <c r="C114" s="2" t="s">
        <v>287</v>
      </c>
      <c r="D114" s="37" cm="1">
        <f t="array" aca="1" ref="D114" ca="1">INDIRECT("'" &amp; C114 &amp; "'!$e$94")</f>
        <v>5</v>
      </c>
      <c r="E114" s="37" cm="1">
        <f t="array" aca="1" ref="E114" ca="1">INDIRECT("'" &amp; C114 &amp; "'!$f$94")</f>
        <v>6</v>
      </c>
      <c r="F114" s="2"/>
      <c r="G114" s="64"/>
      <c r="H114" s="64" t="s">
        <v>379</v>
      </c>
      <c r="I114" s="79"/>
      <c r="J114" s="64"/>
      <c r="K114" s="64" t="s">
        <v>379</v>
      </c>
      <c r="M114" s="64"/>
      <c r="N114" s="64" t="s">
        <v>379</v>
      </c>
      <c r="P114" s="64"/>
      <c r="Q114" s="64" t="s">
        <v>379</v>
      </c>
      <c r="S114" t="s">
        <v>339</v>
      </c>
      <c r="V114" t="s">
        <v>340</v>
      </c>
      <c r="W114">
        <v>0.05</v>
      </c>
      <c r="Y114" t="s">
        <v>341</v>
      </c>
      <c r="Z114">
        <v>0</v>
      </c>
      <c r="AD114" t="s">
        <v>381</v>
      </c>
      <c r="AE114" t="s">
        <v>382</v>
      </c>
    </row>
    <row r="115" spans="3:31" ht="15" thickTop="1" x14ac:dyDescent="0.3">
      <c r="C115" s="2" t="s">
        <v>288</v>
      </c>
      <c r="D115" s="37" cm="1">
        <f t="array" aca="1" ref="D115" ca="1">INDIRECT("'" &amp; C115 &amp; "'!$e$94")</f>
        <v>4</v>
      </c>
      <c r="E115" s="37" cm="1">
        <f t="array" aca="1" ref="E115" ca="1">INDIRECT("'" &amp; C115 &amp; "'!$f$94")</f>
        <v>5</v>
      </c>
      <c r="F115" s="2"/>
      <c r="G115" s="65" t="s">
        <v>301</v>
      </c>
      <c r="H115" s="65">
        <f ca="1">AVERAGE(D112:D132)</f>
        <v>4.3809523809523814</v>
      </c>
      <c r="J115" t="s">
        <v>332</v>
      </c>
      <c r="K115">
        <f ca="1">[1]!SHAPIRO(D112:D132)</f>
        <v>0.95317034368547893</v>
      </c>
      <c r="M115" t="s">
        <v>301</v>
      </c>
      <c r="N115" s="65">
        <f ca="1">AVERAGE(E112:E132)</f>
        <v>3.9047619047619047</v>
      </c>
      <c r="P115" t="s">
        <v>332</v>
      </c>
      <c r="Q115">
        <f ca="1">[1]!SHAPIRO(E112:E132)</f>
        <v>0.91214407795007579</v>
      </c>
      <c r="S115" s="68" t="s">
        <v>342</v>
      </c>
      <c r="T115" s="68" t="s">
        <v>313</v>
      </c>
      <c r="U115" s="68" t="s">
        <v>301</v>
      </c>
      <c r="V115" s="68" t="s">
        <v>343</v>
      </c>
      <c r="W115" s="68" t="s">
        <v>344</v>
      </c>
      <c r="X115" s="68" t="s">
        <v>345</v>
      </c>
      <c r="Y115" s="68" t="s">
        <v>346</v>
      </c>
      <c r="Z115" s="68" t="s">
        <v>347</v>
      </c>
      <c r="AA115" s="68" t="s">
        <v>348</v>
      </c>
      <c r="AC115" t="s">
        <v>359</v>
      </c>
      <c r="AD115" s="102">
        <f ca="1">MEDIAN(D112:D132)</f>
        <v>4</v>
      </c>
      <c r="AE115" s="103">
        <f ca="1">MEDIAN(E112:E132)</f>
        <v>4</v>
      </c>
    </row>
    <row r="116" spans="3:31" x14ac:dyDescent="0.3">
      <c r="C116" s="2" t="s">
        <v>289</v>
      </c>
      <c r="D116" s="37" cm="1">
        <f t="array" aca="1" ref="D116" ca="1">INDIRECT("'" &amp; C116 &amp; "'!$e$94")</f>
        <v>1</v>
      </c>
      <c r="E116" s="37" cm="1">
        <f t="array" aca="1" ref="E116" ca="1">INDIRECT("'" &amp; C116 &amp; "'!$f$94")</f>
        <v>1</v>
      </c>
      <c r="F116" s="2"/>
      <c r="G116" t="s">
        <v>302</v>
      </c>
      <c r="H116">
        <f ca="1">_xlfn.STDEV.S(D112:D132)/SQRT(COUNT(D112:D132))</f>
        <v>0.32715360071081279</v>
      </c>
      <c r="J116" t="s">
        <v>333</v>
      </c>
      <c r="K116">
        <f ca="1">[1]!SWTEST(D112:D132)</f>
        <v>0.39040606421641</v>
      </c>
      <c r="M116" t="s">
        <v>302</v>
      </c>
      <c r="N116">
        <f ca="1">_xlfn.STDEV.S(E112:E132)/SQRT(COUNT(E112:E132))</f>
        <v>0.28372322113840437</v>
      </c>
      <c r="P116" t="s">
        <v>333</v>
      </c>
      <c r="Q116">
        <f ca="1">[1]!SWTEST(E112:E132)</f>
        <v>6.0540109380138096E-2</v>
      </c>
      <c r="S116" t="s">
        <v>379</v>
      </c>
      <c r="T116">
        <f ca="1">COUNT(D112:D132)</f>
        <v>21</v>
      </c>
      <c r="U116" s="65">
        <f ca="1">AVERAGE(D112:D132)</f>
        <v>4.3809523809523814</v>
      </c>
      <c r="V116">
        <f ca="1">_xlfn.STDEV.S(D112:D132)</f>
        <v>1.4992061391346583</v>
      </c>
    </row>
    <row r="117" spans="3:31" x14ac:dyDescent="0.3">
      <c r="C117" s="2" t="s">
        <v>290</v>
      </c>
      <c r="D117" s="37" cm="1">
        <f t="array" aca="1" ref="D117" ca="1">INDIRECT("'" &amp; C117 &amp; "'!$e$94")</f>
        <v>5</v>
      </c>
      <c r="E117" s="37" cm="1">
        <f t="array" aca="1" ref="E117" ca="1">INDIRECT("'" &amp; C117 &amp; "'!$f$94")</f>
        <v>4</v>
      </c>
      <c r="F117" s="2"/>
      <c r="G117" s="65" t="s">
        <v>303</v>
      </c>
      <c r="H117" s="65">
        <f ca="1">MEDIAN(D112:D132)</f>
        <v>4</v>
      </c>
      <c r="J117" t="s">
        <v>334</v>
      </c>
      <c r="K117">
        <v>0.05</v>
      </c>
      <c r="M117" t="s">
        <v>303</v>
      </c>
      <c r="N117" s="65">
        <f ca="1">MEDIAN(E112:E132)</f>
        <v>4</v>
      </c>
      <c r="P117" t="s">
        <v>334</v>
      </c>
      <c r="Q117">
        <v>0.05</v>
      </c>
      <c r="S117" t="s">
        <v>380</v>
      </c>
      <c r="T117">
        <f ca="1">COUNT(E112:E132)</f>
        <v>21</v>
      </c>
      <c r="U117" s="65">
        <f ca="1">AVERAGE(E112:E132)</f>
        <v>3.9047619047619047</v>
      </c>
      <c r="V117">
        <f ca="1">_xlfn.STDEV.S(E112:E132)</f>
        <v>1.3001831372834327</v>
      </c>
      <c r="AC117" t="s">
        <v>360</v>
      </c>
      <c r="AD117" s="88">
        <f ca="1">SUMPRODUCT(--ISNUMBER(D112:D132),--ISNUMBER(E112:E132))</f>
        <v>21</v>
      </c>
    </row>
    <row r="118" spans="3:31" x14ac:dyDescent="0.3">
      <c r="C118" s="2" t="s">
        <v>291</v>
      </c>
      <c r="D118" s="37" cm="1">
        <f t="array" aca="1" ref="D118" ca="1">INDIRECT("'" &amp; C118 &amp; "'!$e$94")</f>
        <v>5</v>
      </c>
      <c r="E118" s="37" cm="1">
        <f t="array" aca="1" ref="E118" ca="1">INDIRECT("'" &amp; C118 &amp; "'!$f$94")</f>
        <v>5</v>
      </c>
      <c r="F118" s="2"/>
      <c r="G118" t="s">
        <v>304</v>
      </c>
      <c r="H118">
        <f ca="1">MODE(D112:D132)</f>
        <v>5</v>
      </c>
      <c r="J118" s="66" t="s">
        <v>335</v>
      </c>
      <c r="K118" s="66" t="str">
        <f ca="1">IF(K116&lt;K117,"no","yes")</f>
        <v>yes</v>
      </c>
      <c r="M118" t="s">
        <v>304</v>
      </c>
      <c r="N118">
        <f ca="1">MODE(E112:E132)</f>
        <v>3</v>
      </c>
      <c r="P118" s="63" t="s">
        <v>335</v>
      </c>
      <c r="Q118" s="66" t="str">
        <f ca="1">IF(Q116&lt;Q117,"no","yes")</f>
        <v>yes</v>
      </c>
      <c r="S118" s="85" t="s">
        <v>349</v>
      </c>
      <c r="T118" s="85">
        <f ca="1">T117</f>
        <v>21</v>
      </c>
      <c r="U118" s="100">
        <f ca="1">U116-U117</f>
        <v>0.47619047619047672</v>
      </c>
      <c r="V118" s="85">
        <f t="array" aca="1" ref="V118" ca="1">_xlfn.STDEV.S(D112:D132-E112:E132)</f>
        <v>1.4006801069140526</v>
      </c>
      <c r="W118" s="85">
        <f ca="1">V118/SQRT(T118)</f>
        <v>0.30565345782630882</v>
      </c>
      <c r="X118" s="85">
        <f ca="1">(U116-U117-Z114)/W118</f>
        <v>1.5579423821243912</v>
      </c>
      <c r="Y118" s="85">
        <f ca="1">T118-1</f>
        <v>20</v>
      </c>
      <c r="Z118" s="85">
        <f ca="1">ABS(U116-U117-Z114)/V118</f>
        <v>0.33997089973642092</v>
      </c>
      <c r="AA118" s="85">
        <f ca="1">SQRT(X118^2/(X118^2+Y118))</f>
        <v>0.32897584747988479</v>
      </c>
      <c r="AC118" t="s">
        <v>361</v>
      </c>
      <c r="AD118" s="74">
        <f ca="1">SUMPRODUCT(--ISNUMBER(D112:D132),--ISNUMBER(E112:E132),--(D112:D132&lt;&gt;E112:E132))</f>
        <v>14</v>
      </c>
    </row>
    <row r="119" spans="3:31" x14ac:dyDescent="0.3">
      <c r="C119" s="2" t="s">
        <v>292</v>
      </c>
      <c r="D119" s="37" cm="1">
        <f t="array" aca="1" ref="D119" ca="1">INDIRECT("'" &amp; C119 &amp; "'!$e$94")</f>
        <v>4</v>
      </c>
      <c r="E119" s="37" cm="1">
        <f t="array" aca="1" ref="E119" ca="1">INDIRECT("'" &amp; C119 &amp; "'!$f$94")</f>
        <v>3</v>
      </c>
      <c r="F119" s="2"/>
      <c r="G119" t="s">
        <v>305</v>
      </c>
      <c r="H119">
        <f ca="1">_xlfn.STDEV.S(D112:D132)</f>
        <v>1.4992061391346583</v>
      </c>
      <c r="M119" t="s">
        <v>305</v>
      </c>
      <c r="N119">
        <f ca="1">_xlfn.STDEV.S(E112:E132)</f>
        <v>1.3001831372834327</v>
      </c>
      <c r="AC119" t="s">
        <v>362</v>
      </c>
      <c r="AD119" s="74">
        <f ca="1">IF(AD121&lt;=AD124,AD121,AD118*(AD118+1)/2)</f>
        <v>31</v>
      </c>
    </row>
    <row r="120" spans="3:31" ht="15" thickBot="1" x14ac:dyDescent="0.35">
      <c r="C120" s="2" t="s">
        <v>293</v>
      </c>
      <c r="D120" s="37" cm="1">
        <f t="array" aca="1" ref="D120" ca="1">INDIRECT("'" &amp; C120 &amp; "'!$e$94")</f>
        <v>3</v>
      </c>
      <c r="E120" s="37" cm="1">
        <f t="array" aca="1" ref="E120" ca="1">INDIRECT("'" &amp; C120 &amp; "'!$f$94")</f>
        <v>5</v>
      </c>
      <c r="F120" s="2"/>
      <c r="G120" t="s">
        <v>306</v>
      </c>
      <c r="H120">
        <f ca="1">_xlfn.VAR.S(D112:D132)</f>
        <v>2.2476190476190481</v>
      </c>
      <c r="J120" t="s">
        <v>336</v>
      </c>
      <c r="M120" t="s">
        <v>306</v>
      </c>
      <c r="N120">
        <f ca="1">_xlfn.VAR.S(E112:E132)</f>
        <v>1.6904761904761898</v>
      </c>
      <c r="P120" t="s">
        <v>336</v>
      </c>
      <c r="S120" t="s">
        <v>350</v>
      </c>
      <c r="AC120" t="s">
        <v>363</v>
      </c>
      <c r="AD120" s="74">
        <f ca="1">AD118*(AD118+1)/2-AD119</f>
        <v>74</v>
      </c>
    </row>
    <row r="121" spans="3:31" ht="15" thickTop="1" x14ac:dyDescent="0.3">
      <c r="C121" s="2" t="s">
        <v>294</v>
      </c>
      <c r="D121" s="37" cm="1">
        <f t="array" aca="1" ref="D121" ca="1">INDIRECT("'" &amp; C121 &amp; "'!$e$94")</f>
        <v>3</v>
      </c>
      <c r="E121" s="37" cm="1">
        <f t="array" aca="1" ref="E121" ca="1">INDIRECT("'" &amp; C121 &amp; "'!$f$94")</f>
        <v>3</v>
      </c>
      <c r="F121" s="2"/>
      <c r="G121" t="s">
        <v>307</v>
      </c>
      <c r="H121">
        <f ca="1">KURT(D112:D132)</f>
        <v>0.26919158892635497</v>
      </c>
      <c r="M121" t="s">
        <v>307</v>
      </c>
      <c r="N121">
        <f ca="1">KURT(E112:E132)</f>
        <v>1.06163146409965</v>
      </c>
      <c r="S121" s="68" t="s">
        <v>351</v>
      </c>
      <c r="T121" s="68" t="s">
        <v>333</v>
      </c>
      <c r="U121" s="68" t="s">
        <v>352</v>
      </c>
      <c r="V121" s="68" t="s">
        <v>353</v>
      </c>
      <c r="W121" s="68" t="s">
        <v>354</v>
      </c>
      <c r="X121" s="68" t="s">
        <v>355</v>
      </c>
      <c r="AC121" t="s">
        <v>364</v>
      </c>
      <c r="AD121" s="75">
        <f ca="1">[1]!SRANK(D112:D132,E112:E132)</f>
        <v>31</v>
      </c>
    </row>
    <row r="122" spans="3:31" x14ac:dyDescent="0.3">
      <c r="C122" s="2" t="s">
        <v>295</v>
      </c>
      <c r="D122" s="37" cm="1">
        <f t="array" aca="1" ref="D122" ca="1">INDIRECT("'" &amp; C122 &amp; "'!$e$94")</f>
        <v>7</v>
      </c>
      <c r="E122" s="37" cm="1">
        <f t="array" aca="1" ref="E122" ca="1">INDIRECT("'" &amp; C122 &amp; "'!$f$94")</f>
        <v>7</v>
      </c>
      <c r="F122" s="2"/>
      <c r="G122" t="s">
        <v>308</v>
      </c>
      <c r="H122">
        <f ca="1">SKEW(D112:D132)</f>
        <v>-0.23838069537843282</v>
      </c>
      <c r="J122" s="85" t="s">
        <v>337</v>
      </c>
      <c r="K122" s="85">
        <f ca="1">[1]!DAGOSTINO(D112:D132)</f>
        <v>0.51921119651632197</v>
      </c>
      <c r="M122" t="s">
        <v>308</v>
      </c>
      <c r="N122">
        <f ca="1">SKEW(E112:E132)</f>
        <v>0.34391003949919507</v>
      </c>
      <c r="P122" s="85" t="s">
        <v>337</v>
      </c>
      <c r="Q122" s="85">
        <f ca="1">[1]!DAGOSTINO(E112:E132)</f>
        <v>1.9032618489642712</v>
      </c>
      <c r="S122" t="s">
        <v>356</v>
      </c>
      <c r="T122">
        <f ca="1">_xlfn.T.DIST.RT(ABS(X118),Y118)</f>
        <v>6.7465338642792777E-2</v>
      </c>
      <c r="U122">
        <f ca="1">_xlfn.T.INV.2T(W114*2,Y118)</f>
        <v>1.7247182429207868</v>
      </c>
      <c r="X122" s="70" t="str">
        <f ca="1">IF(T122&lt;W114,"yes","no")</f>
        <v>no</v>
      </c>
    </row>
    <row r="123" spans="3:31" x14ac:dyDescent="0.3">
      <c r="C123" s="2" t="s">
        <v>296</v>
      </c>
      <c r="D123" s="37" cm="1">
        <f t="array" aca="1" ref="D123" ca="1">INDIRECT("'" &amp; C123 &amp; "'!$e$94")</f>
        <v>5</v>
      </c>
      <c r="E123" s="37" cm="1">
        <f t="array" aca="1" ref="E123" ca="1">INDIRECT("'" &amp; C123 &amp; "'!$f$94")</f>
        <v>4</v>
      </c>
      <c r="F123" s="2"/>
      <c r="G123" t="s">
        <v>309</v>
      </c>
      <c r="H123">
        <f ca="1">H124-H125</f>
        <v>6</v>
      </c>
      <c r="J123" t="s">
        <v>333</v>
      </c>
      <c r="K123">
        <f ca="1">[1]!DPTEST(D112:D132)</f>
        <v>0.77135574986953093</v>
      </c>
      <c r="M123" t="s">
        <v>309</v>
      </c>
      <c r="N123">
        <f ca="1">N124-N125</f>
        <v>6</v>
      </c>
      <c r="P123" t="s">
        <v>333</v>
      </c>
      <c r="Q123">
        <f ca="1">[1]!DPTEST(E112:E132)</f>
        <v>0.38611079212065569</v>
      </c>
      <c r="S123" t="s">
        <v>357</v>
      </c>
      <c r="T123">
        <f ca="1">_xlfn.T.DIST.2T(ABS(X118),Y118)</f>
        <v>0.13493067728558555</v>
      </c>
      <c r="U123">
        <f ca="1">_xlfn.T.INV.2T(W114,Y118)</f>
        <v>2.0859634472658648</v>
      </c>
      <c r="V123">
        <f ca="1">(U116-U117)-W118*U123</f>
        <v>-0.16139146436562202</v>
      </c>
      <c r="W123">
        <f ca="1">(U116-U117)+W118*U123</f>
        <v>1.1137724167465755</v>
      </c>
      <c r="X123" s="70" t="str">
        <f ca="1">IF(T123&lt;W114,"yes","no")</f>
        <v>no</v>
      </c>
      <c r="AD123" s="70" t="s">
        <v>365</v>
      </c>
      <c r="AE123" s="70" t="s">
        <v>366</v>
      </c>
    </row>
    <row r="124" spans="3:31" x14ac:dyDescent="0.3">
      <c r="C124" s="2" t="s">
        <v>297</v>
      </c>
      <c r="D124" s="37" cm="1">
        <f t="array" aca="1" ref="D124" ca="1">INDIRECT("'" &amp; C124 &amp; "'!$e$94")</f>
        <v>4</v>
      </c>
      <c r="E124" s="37" cm="1">
        <f t="array" aca="1" ref="E124" ca="1">INDIRECT("'" &amp; C124 &amp; "'!$f$94")</f>
        <v>3</v>
      </c>
      <c r="F124" s="2"/>
      <c r="G124" s="65" t="s">
        <v>310</v>
      </c>
      <c r="H124" s="65">
        <f ca="1">MAX(D112:D132)</f>
        <v>7</v>
      </c>
      <c r="J124" t="s">
        <v>334</v>
      </c>
      <c r="K124">
        <v>0.05</v>
      </c>
      <c r="M124" t="s">
        <v>310</v>
      </c>
      <c r="N124" s="65">
        <f ca="1">MAX(E112:E132)</f>
        <v>7</v>
      </c>
      <c r="P124" t="s">
        <v>334</v>
      </c>
      <c r="Q124">
        <v>0.05</v>
      </c>
      <c r="S124" s="85"/>
      <c r="T124" s="85"/>
      <c r="U124" s="85"/>
      <c r="V124" s="85"/>
      <c r="W124" s="85"/>
      <c r="X124" s="85"/>
      <c r="AC124" t="s">
        <v>367</v>
      </c>
      <c r="AD124" s="88">
        <f ca="1">AD118*(AD118+1)/4</f>
        <v>52.5</v>
      </c>
    </row>
    <row r="125" spans="3:31" x14ac:dyDescent="0.3">
      <c r="C125" s="2" t="s">
        <v>298</v>
      </c>
      <c r="D125" s="37" cm="1">
        <f t="array" aca="1" ref="D125" ca="1">INDIRECT("'" &amp; C125 &amp; "'!$e$94")</f>
        <v>4</v>
      </c>
      <c r="E125" s="37" cm="1">
        <f t="array" aca="1" ref="E125" ca="1">INDIRECT("'" &amp; C125 &amp; "'!$f$94")</f>
        <v>4</v>
      </c>
      <c r="F125" s="2"/>
      <c r="G125" s="65" t="s">
        <v>311</v>
      </c>
      <c r="H125" s="65">
        <f ca="1">MIN(D112:D132)</f>
        <v>1</v>
      </c>
      <c r="J125" s="66" t="s">
        <v>335</v>
      </c>
      <c r="K125" s="66" t="str">
        <f ca="1">IF(K123&lt;K124,"no","yes")</f>
        <v>yes</v>
      </c>
      <c r="M125" t="s">
        <v>311</v>
      </c>
      <c r="N125" s="65">
        <f ca="1">MIN(E112:E132)</f>
        <v>1</v>
      </c>
      <c r="P125" s="63" t="s">
        <v>335</v>
      </c>
      <c r="Q125" s="66" t="str">
        <f ca="1">IF(Q123&lt;Q124,"no","yes")</f>
        <v>yes</v>
      </c>
      <c r="AC125" t="s">
        <v>368</v>
      </c>
      <c r="AD125" s="74">
        <f ca="1">SQRT(AD124*(2*AD118+1)/6-[1]!TiesCorrection(D112:D132,E112:E132,1)/48)</f>
        <v>15.431299362010964</v>
      </c>
      <c r="AE125" t="s">
        <v>369</v>
      </c>
    </row>
    <row r="126" spans="3:31" x14ac:dyDescent="0.3">
      <c r="C126" s="2" t="s">
        <v>299</v>
      </c>
      <c r="D126" s="37" cm="1">
        <f t="array" aca="1" ref="D126" ca="1">INDIRECT("'" &amp; C126 &amp; "'!$e$94")</f>
        <v>4</v>
      </c>
      <c r="E126" s="37" cm="1">
        <f t="array" aca="1" ref="E126" ca="1">INDIRECT("'" &amp; C126 &amp; "'!$f$94")</f>
        <v>3</v>
      </c>
      <c r="F126" s="2"/>
      <c r="G126" s="65" t="s">
        <v>312</v>
      </c>
      <c r="H126" s="65">
        <f ca="1">SUM(D112:D132)</f>
        <v>92</v>
      </c>
      <c r="M126" t="s">
        <v>312</v>
      </c>
      <c r="N126" s="65">
        <f ca="1">SUM(E112:E132)</f>
        <v>82</v>
      </c>
      <c r="AC126" t="s">
        <v>370</v>
      </c>
      <c r="AD126" s="74">
        <f ca="1">ABS(ABS(AD121-AD124)-1/2)/AD125</f>
        <v>1.3608704949175023</v>
      </c>
      <c r="AE126" t="s">
        <v>371</v>
      </c>
    </row>
    <row r="127" spans="3:31" x14ac:dyDescent="0.3">
      <c r="C127" s="2" t="s">
        <v>395</v>
      </c>
      <c r="D127" s="37" cm="1">
        <f t="array" aca="1" ref="D127" ca="1">INDIRECT("'" &amp; C127 &amp; "'!$e$94")</f>
        <v>2</v>
      </c>
      <c r="E127" s="37" cm="1">
        <f t="array" aca="1" ref="E127" ca="1">INDIRECT("'" &amp; C127 &amp; "'!$f$94")</f>
        <v>4</v>
      </c>
      <c r="F127" s="2"/>
      <c r="G127" t="s">
        <v>313</v>
      </c>
      <c r="H127">
        <f ca="1">COUNT(D112:D132)</f>
        <v>21</v>
      </c>
      <c r="M127" t="s">
        <v>313</v>
      </c>
      <c r="N127">
        <f ca="1">COUNT(E112:E132)</f>
        <v>21</v>
      </c>
      <c r="AC127" t="s">
        <v>372</v>
      </c>
      <c r="AD127" s="74">
        <f ca="1">AD126/SQRT(AD118)</f>
        <v>0.36370793855362732</v>
      </c>
    </row>
    <row r="128" spans="3:31" x14ac:dyDescent="0.3">
      <c r="C128" s="2" t="s">
        <v>396</v>
      </c>
      <c r="D128" s="37" cm="1">
        <f t="array" aca="1" ref="D128" ca="1">INDIRECT("'" &amp; C128 &amp; "'!$e$94")</f>
        <v>6</v>
      </c>
      <c r="E128" s="37" cm="1">
        <f t="array" aca="1" ref="E128" ca="1">INDIRECT("'" &amp; C128 &amp; "'!$f$94")</f>
        <v>3</v>
      </c>
      <c r="F128" s="2"/>
      <c r="G128" t="s">
        <v>314</v>
      </c>
      <c r="H128">
        <f ca="1">GEOMEAN(D112:D132)</f>
        <v>4.06268328550152</v>
      </c>
      <c r="M128" t="s">
        <v>314</v>
      </c>
      <c r="N128">
        <f ca="1">GEOMEAN(E112:E132)</f>
        <v>3.6661678728318288</v>
      </c>
      <c r="AC128" t="s">
        <v>373</v>
      </c>
      <c r="AD128" s="88">
        <f ca="1">1-_xlfn.NORM.S.DIST(AD126,TRUE)</f>
        <v>8.6777309586174578E-2</v>
      </c>
      <c r="AE128" s="104">
        <f ca="1">2*AD128</f>
        <v>0.17355461917234916</v>
      </c>
    </row>
    <row r="129" spans="3:31" x14ac:dyDescent="0.3">
      <c r="C129" s="2" t="s">
        <v>397</v>
      </c>
      <c r="D129" s="37" cm="1">
        <f t="array" aca="1" ref="D129" ca="1">INDIRECT("'" &amp; C129 &amp; "'!$e$94")</f>
        <v>5</v>
      </c>
      <c r="E129" s="37" cm="1">
        <f t="array" aca="1" ref="E129" ca="1">INDIRECT("'" &amp; C129 &amp; "'!$f$94")</f>
        <v>4</v>
      </c>
      <c r="F129" s="2"/>
      <c r="G129" t="s">
        <v>315</v>
      </c>
      <c r="H129">
        <f ca="1">HARMEAN(D112:D132)</f>
        <v>3.608837970540097</v>
      </c>
      <c r="M129" t="s">
        <v>315</v>
      </c>
      <c r="N129">
        <f ca="1">HARMEAN(E112:E132)</f>
        <v>3.3459787556904406</v>
      </c>
      <c r="AC129" t="s">
        <v>374</v>
      </c>
      <c r="AD129" s="74">
        <f ca="1">[1]!SRDIST(AD121,AD118,1)</f>
        <v>9.686279296875E-2</v>
      </c>
      <c r="AE129" s="77">
        <f ca="1">2*AD129</f>
        <v>0.1937255859375</v>
      </c>
    </row>
    <row r="130" spans="3:31" x14ac:dyDescent="0.3">
      <c r="C130" s="2" t="s">
        <v>398</v>
      </c>
      <c r="D130" s="37" cm="1">
        <f t="array" aca="1" ref="D130" ca="1">INDIRECT("'" &amp; C130 &amp; "'!$e$94")</f>
        <v>4</v>
      </c>
      <c r="E130" s="37" cm="1">
        <f t="array" aca="1" ref="E130" ca="1">INDIRECT("'" &amp; C130 &amp; "'!$f$94")</f>
        <v>3</v>
      </c>
      <c r="F130" s="2"/>
      <c r="G130" t="s">
        <v>316</v>
      </c>
      <c r="H130">
        <f ca="1">AVEDEV(D112:D132)</f>
        <v>1.1609977324263041</v>
      </c>
      <c r="M130" t="s">
        <v>316</v>
      </c>
      <c r="N130">
        <f ca="1">AVEDEV(E112:E132)</f>
        <v>0.96598639455782309</v>
      </c>
      <c r="AC130" t="s">
        <v>375</v>
      </c>
      <c r="AD130" s="75" t="s">
        <v>376</v>
      </c>
      <c r="AE130" s="78" t="s">
        <v>376</v>
      </c>
    </row>
    <row r="131" spans="3:31" x14ac:dyDescent="0.3">
      <c r="C131" s="2" t="s">
        <v>399</v>
      </c>
      <c r="D131" s="37" cm="1">
        <f t="array" aca="1" ref="D131" ca="1">INDIRECT("'" &amp; C131 &amp; "'!$e$94")</f>
        <v>7</v>
      </c>
      <c r="E131" s="37" cm="1">
        <f t="array" aca="1" ref="E131" ca="1">INDIRECT("'" &amp; C131 &amp; "'!$f$94")</f>
        <v>4</v>
      </c>
      <c r="F131" s="2"/>
      <c r="G131" t="s">
        <v>317</v>
      </c>
      <c r="H131">
        <f ca="1">[1]!MAD(D112:D132)</f>
        <v>1</v>
      </c>
      <c r="M131" t="s">
        <v>317</v>
      </c>
      <c r="N131">
        <f ca="1">[1]!MAD(E112:E132)</f>
        <v>1</v>
      </c>
    </row>
    <row r="132" spans="3:31" x14ac:dyDescent="0.3">
      <c r="C132" s="2" t="s">
        <v>400</v>
      </c>
      <c r="D132" s="37" cm="1">
        <f t="array" aca="1" ref="D132" ca="1">INDIRECT("'" &amp; C132 &amp; "'!$e$94")</f>
        <v>5</v>
      </c>
      <c r="E132" s="37" cm="1">
        <f t="array" aca="1" ref="E132" ca="1">INDIRECT("'" &amp; C132 &amp; "'!$f$94")</f>
        <v>5</v>
      </c>
      <c r="G132" s="63" t="s">
        <v>318</v>
      </c>
      <c r="H132" s="63">
        <f ca="1">[1]!IQR(D112:D132,FALSE)</f>
        <v>1</v>
      </c>
      <c r="M132" s="63" t="s">
        <v>318</v>
      </c>
      <c r="N132" s="63">
        <f ca="1">[1]!IQR(E112:E132,FALSE)</f>
        <v>2</v>
      </c>
    </row>
    <row r="136" spans="3:31" x14ac:dyDescent="0.3">
      <c r="C136" s="2"/>
      <c r="D136" s="84" t="s">
        <v>412</v>
      </c>
      <c r="E136" s="83"/>
      <c r="G136" s="107"/>
      <c r="J136" s="107"/>
    </row>
    <row r="137" spans="3:31" x14ac:dyDescent="0.3">
      <c r="C137" s="2"/>
      <c r="D137" s="2"/>
      <c r="E137" s="2"/>
      <c r="F137" s="2"/>
      <c r="G137" s="37"/>
      <c r="I137" s="2"/>
      <c r="J137" s="37"/>
    </row>
    <row r="138" spans="3:31" x14ac:dyDescent="0.3">
      <c r="C138" s="2" t="s">
        <v>285</v>
      </c>
      <c r="D138" s="37" cm="1">
        <f t="array" aca="1" ref="D138" ca="1">INDIRECT("'" &amp; C138 &amp; "'!$e$95")</f>
        <v>2</v>
      </c>
      <c r="E138" s="37" cm="1">
        <f t="array" aca="1" ref="E138" ca="1">INDIRECT("'" &amp; C138 &amp; "'!$f$95")</f>
        <v>2</v>
      </c>
      <c r="F138" s="2"/>
      <c r="G138" t="s">
        <v>300</v>
      </c>
      <c r="J138" t="s">
        <v>331</v>
      </c>
      <c r="M138" t="s">
        <v>300</v>
      </c>
      <c r="P138" t="s">
        <v>331</v>
      </c>
      <c r="S138" t="s">
        <v>338</v>
      </c>
      <c r="AC138" t="s">
        <v>358</v>
      </c>
    </row>
    <row r="139" spans="3:31" x14ac:dyDescent="0.3">
      <c r="C139" s="2" t="s">
        <v>286</v>
      </c>
      <c r="D139" s="37" cm="1">
        <f t="array" aca="1" ref="D139" ca="1">INDIRECT("'" &amp; C139 &amp; "'!$e$95")</f>
        <v>2</v>
      </c>
      <c r="E139" s="37" cm="1">
        <f t="array" aca="1" ref="E139" ca="1">INDIRECT("'" &amp; C139 &amp; "'!$f$95")</f>
        <v>2</v>
      </c>
      <c r="F139" s="2"/>
    </row>
    <row r="140" spans="3:31" ht="15" thickBot="1" x14ac:dyDescent="0.35">
      <c r="C140" s="2" t="s">
        <v>287</v>
      </c>
      <c r="D140" s="37" cm="1">
        <f t="array" aca="1" ref="D140" ca="1">INDIRECT("'" &amp; C140 &amp; "'!$e$95")</f>
        <v>6</v>
      </c>
      <c r="E140" s="37" cm="1">
        <f t="array" aca="1" ref="E140" ca="1">INDIRECT("'" &amp; C140 &amp; "'!$f$95")</f>
        <v>1</v>
      </c>
      <c r="F140" s="2"/>
      <c r="G140" s="64"/>
      <c r="H140" s="64" t="s">
        <v>379</v>
      </c>
      <c r="I140" s="79"/>
      <c r="J140" s="64"/>
      <c r="K140" s="64" t="s">
        <v>379</v>
      </c>
      <c r="M140" s="64"/>
      <c r="N140" s="64" t="s">
        <v>379</v>
      </c>
      <c r="P140" s="64"/>
      <c r="Q140" s="64" t="s">
        <v>379</v>
      </c>
      <c r="S140" t="s">
        <v>339</v>
      </c>
      <c r="V140" t="s">
        <v>340</v>
      </c>
      <c r="W140">
        <v>0.05</v>
      </c>
      <c r="Y140" t="s">
        <v>341</v>
      </c>
      <c r="Z140">
        <v>0</v>
      </c>
      <c r="AD140" t="s">
        <v>381</v>
      </c>
      <c r="AE140" t="s">
        <v>382</v>
      </c>
    </row>
    <row r="141" spans="3:31" ht="15" thickTop="1" x14ac:dyDescent="0.3">
      <c r="C141" s="2" t="s">
        <v>288</v>
      </c>
      <c r="D141" s="37" cm="1">
        <f t="array" aca="1" ref="D141" ca="1">INDIRECT("'" &amp; C141 &amp; "'!$e$95")</f>
        <v>1</v>
      </c>
      <c r="E141" s="37" cm="1">
        <f t="array" aca="1" ref="E141" ca="1">INDIRECT("'" &amp; C141 &amp; "'!$f$95")</f>
        <v>1</v>
      </c>
      <c r="F141" s="2"/>
      <c r="G141" s="65" t="s">
        <v>301</v>
      </c>
      <c r="H141" s="65">
        <f ca="1">AVERAGE(D138:D158)</f>
        <v>2.2857142857142856</v>
      </c>
      <c r="J141" t="s">
        <v>332</v>
      </c>
      <c r="K141">
        <f ca="1">[1]!SHAPIRO(D138:D158)</f>
        <v>0.83117938249983514</v>
      </c>
      <c r="M141" t="s">
        <v>301</v>
      </c>
      <c r="N141" s="65">
        <f ca="1">AVERAGE(E138:E158)</f>
        <v>1.8095238095238095</v>
      </c>
      <c r="P141" t="s">
        <v>332</v>
      </c>
      <c r="Q141">
        <f ca="1">[1]!SHAPIRO(E138:E158)</f>
        <v>0.67481306988657286</v>
      </c>
      <c r="S141" s="68" t="s">
        <v>342</v>
      </c>
      <c r="T141" s="68" t="s">
        <v>313</v>
      </c>
      <c r="U141" s="68" t="s">
        <v>301</v>
      </c>
      <c r="V141" s="68" t="s">
        <v>343</v>
      </c>
      <c r="W141" s="68" t="s">
        <v>344</v>
      </c>
      <c r="X141" s="68" t="s">
        <v>345</v>
      </c>
      <c r="Y141" s="68" t="s">
        <v>346</v>
      </c>
      <c r="Z141" s="68" t="s">
        <v>347</v>
      </c>
      <c r="AA141" s="68" t="s">
        <v>348</v>
      </c>
      <c r="AC141" t="s">
        <v>359</v>
      </c>
      <c r="AD141" s="102">
        <f ca="1">MEDIAN(D138:D158)</f>
        <v>2</v>
      </c>
      <c r="AE141" s="103">
        <f ca="1">MEDIAN(E138:E158)</f>
        <v>1</v>
      </c>
    </row>
    <row r="142" spans="3:31" x14ac:dyDescent="0.3">
      <c r="C142" s="2" t="s">
        <v>289</v>
      </c>
      <c r="D142" s="37" cm="1">
        <f t="array" aca="1" ref="D142" ca="1">INDIRECT("'" &amp; C142 &amp; "'!$e$95")</f>
        <v>4</v>
      </c>
      <c r="E142" s="37" cm="1">
        <f t="array" aca="1" ref="E142" ca="1">INDIRECT("'" &amp; C142 &amp; "'!$f$95")</f>
        <v>4</v>
      </c>
      <c r="F142" s="2"/>
      <c r="G142" t="s">
        <v>302</v>
      </c>
      <c r="H142">
        <f ca="1">_xlfn.STDEV.S(D138:D158)/SQRT(COUNT(D138:D158))</f>
        <v>0.31730154759919399</v>
      </c>
      <c r="J142" t="s">
        <v>333</v>
      </c>
      <c r="K142">
        <f ca="1">[1]!SWTEST(D138:D158)</f>
        <v>2.0479303902645185E-3</v>
      </c>
      <c r="M142" t="s">
        <v>302</v>
      </c>
      <c r="N142">
        <f ca="1">_xlfn.STDEV.S(E138:E158)/SQRT(COUNT(E138:E158))</f>
        <v>0.27272040120526392</v>
      </c>
      <c r="P142" t="s">
        <v>333</v>
      </c>
      <c r="Q142">
        <f ca="1">[1]!SWTEST(E138:E158)</f>
        <v>1.3582733112582623E-5</v>
      </c>
      <c r="S142" t="s">
        <v>379</v>
      </c>
      <c r="T142">
        <f ca="1">COUNT(D138:D158)</f>
        <v>21</v>
      </c>
      <c r="U142" s="65">
        <f ca="1">AVERAGE(D138:D158)</f>
        <v>2.2857142857142856</v>
      </c>
      <c r="V142">
        <f ca="1">_xlfn.STDEV.S(D138:D158)</f>
        <v>1.4540583599999399</v>
      </c>
    </row>
    <row r="143" spans="3:31" x14ac:dyDescent="0.3">
      <c r="C143" s="2" t="s">
        <v>290</v>
      </c>
      <c r="D143" s="37" cm="1">
        <f t="array" aca="1" ref="D143" ca="1">INDIRECT("'" &amp; C143 &amp; "'!$e$95")</f>
        <v>2</v>
      </c>
      <c r="E143" s="37" cm="1">
        <f t="array" aca="1" ref="E143" ca="1">INDIRECT("'" &amp; C143 &amp; "'!$f$95")</f>
        <v>2</v>
      </c>
      <c r="F143" s="2"/>
      <c r="G143" s="65" t="s">
        <v>303</v>
      </c>
      <c r="H143" s="65">
        <f ca="1">MEDIAN(D138:D158)</f>
        <v>2</v>
      </c>
      <c r="J143" t="s">
        <v>334</v>
      </c>
      <c r="K143">
        <v>0.05</v>
      </c>
      <c r="M143" t="s">
        <v>303</v>
      </c>
      <c r="N143" s="65">
        <f ca="1">MEDIAN(E138:E158)</f>
        <v>1</v>
      </c>
      <c r="P143" t="s">
        <v>334</v>
      </c>
      <c r="Q143">
        <v>0.05</v>
      </c>
      <c r="S143" t="s">
        <v>380</v>
      </c>
      <c r="T143">
        <f ca="1">COUNT(E138:E158)</f>
        <v>21</v>
      </c>
      <c r="U143" s="65">
        <f ca="1">AVERAGE(E138:E158)</f>
        <v>1.8095238095238095</v>
      </c>
      <c r="V143">
        <f ca="1">_xlfn.STDEV.S(E138:E158)</f>
        <v>1.2497618820818477</v>
      </c>
      <c r="AC143" t="s">
        <v>360</v>
      </c>
      <c r="AD143" s="88">
        <f ca="1">SUMPRODUCT(--ISNUMBER(D138:D158),--ISNUMBER(E138:E158))</f>
        <v>21</v>
      </c>
    </row>
    <row r="144" spans="3:31" x14ac:dyDescent="0.3">
      <c r="C144" s="2" t="s">
        <v>291</v>
      </c>
      <c r="D144" s="37" cm="1">
        <f t="array" aca="1" ref="D144" ca="1">INDIRECT("'" &amp; C144 &amp; "'!$e$95")</f>
        <v>1</v>
      </c>
      <c r="E144" s="37" cm="1">
        <f t="array" aca="1" ref="E144" ca="1">INDIRECT("'" &amp; C144 &amp; "'!$f$95")</f>
        <v>1</v>
      </c>
      <c r="F144" s="2"/>
      <c r="G144" t="s">
        <v>304</v>
      </c>
      <c r="H144">
        <f ca="1">MODE(D138:D158)</f>
        <v>1</v>
      </c>
      <c r="J144" s="66" t="s">
        <v>335</v>
      </c>
      <c r="K144" s="66" t="str">
        <f ca="1">IF(K142&lt;K143,"no","yes")</f>
        <v>no</v>
      </c>
      <c r="M144" t="s">
        <v>304</v>
      </c>
      <c r="N144">
        <f ca="1">MODE(E138:E158)</f>
        <v>1</v>
      </c>
      <c r="P144" s="63" t="s">
        <v>335</v>
      </c>
      <c r="Q144" s="66" t="str">
        <f ca="1">IF(Q142&lt;Q143,"no","yes")</f>
        <v>no</v>
      </c>
      <c r="S144" s="85" t="s">
        <v>349</v>
      </c>
      <c r="T144" s="85">
        <f ca="1">T143</f>
        <v>21</v>
      </c>
      <c r="U144" s="100">
        <f ca="1">U142-U143</f>
        <v>0.47619047619047605</v>
      </c>
      <c r="V144" s="85">
        <f t="array" aca="1" ref="V144" ca="1">_xlfn.STDEV.S(D138:D158-E138:E158)</f>
        <v>1.6917165134574887</v>
      </c>
      <c r="W144" s="85">
        <f ca="1">V144/SQRT(T144)</f>
        <v>0.369162808444082</v>
      </c>
      <c r="X144" s="85">
        <f ca="1">(U142-U143-Z140)/W144</f>
        <v>1.2899199629493712</v>
      </c>
      <c r="Y144" s="85">
        <f ca="1">T144-1</f>
        <v>20</v>
      </c>
      <c r="Z144" s="85">
        <f ca="1">ABS(U142-U143-Z140)/V144</f>
        <v>0.28148361288810125</v>
      </c>
      <c r="AA144" s="85">
        <f ca="1">SQRT(X144^2/(X144^2+Y144))</f>
        <v>0.27713699773684658</v>
      </c>
      <c r="AC144" t="s">
        <v>361</v>
      </c>
      <c r="AD144" s="74">
        <f ca="1">SUMPRODUCT(--ISNUMBER(D138:D158),--ISNUMBER(E138:E158),--(D138:D158&lt;&gt;E138:E158))</f>
        <v>7</v>
      </c>
    </row>
    <row r="145" spans="3:31" x14ac:dyDescent="0.3">
      <c r="C145" s="2" t="s">
        <v>292</v>
      </c>
      <c r="D145" s="37" cm="1">
        <f t="array" aca="1" ref="D145" ca="1">INDIRECT("'" &amp; C145 &amp; "'!$e$95")</f>
        <v>1</v>
      </c>
      <c r="E145" s="37" cm="1">
        <f t="array" aca="1" ref="E145" ca="1">INDIRECT("'" &amp; C145 &amp; "'!$f$95")</f>
        <v>1</v>
      </c>
      <c r="F145" s="2"/>
      <c r="G145" t="s">
        <v>305</v>
      </c>
      <c r="H145">
        <f ca="1">_xlfn.STDEV.S(D138:D158)</f>
        <v>1.4540583599999399</v>
      </c>
      <c r="M145" t="s">
        <v>305</v>
      </c>
      <c r="N145">
        <f ca="1">_xlfn.STDEV.S(E138:E158)</f>
        <v>1.2497618820818477</v>
      </c>
      <c r="AC145" t="s">
        <v>362</v>
      </c>
      <c r="AD145" s="74">
        <f ca="1">IF(AD147&lt;=AD150,AD147,AD144*(AD144+1)/2)</f>
        <v>6.5</v>
      </c>
    </row>
    <row r="146" spans="3:31" ht="15" thickBot="1" x14ac:dyDescent="0.35">
      <c r="C146" s="2" t="s">
        <v>293</v>
      </c>
      <c r="D146" s="37" cm="1">
        <f t="array" aca="1" ref="D146" ca="1">INDIRECT("'" &amp; C146 &amp; "'!$e$95")</f>
        <v>1</v>
      </c>
      <c r="E146" s="37" cm="1">
        <f t="array" aca="1" ref="E146" ca="1">INDIRECT("'" &amp; C146 &amp; "'!$f$95")</f>
        <v>1</v>
      </c>
      <c r="F146" s="2"/>
      <c r="G146" t="s">
        <v>306</v>
      </c>
      <c r="H146">
        <f ca="1">_xlfn.VAR.S(D138:D158)</f>
        <v>2.1142857142857148</v>
      </c>
      <c r="J146" t="s">
        <v>336</v>
      </c>
      <c r="M146" t="s">
        <v>306</v>
      </c>
      <c r="N146">
        <f ca="1">_xlfn.VAR.S(E138:E158)</f>
        <v>1.5619047619047621</v>
      </c>
      <c r="P146" t="s">
        <v>336</v>
      </c>
      <c r="S146" t="s">
        <v>350</v>
      </c>
      <c r="AC146" t="s">
        <v>363</v>
      </c>
      <c r="AD146" s="74">
        <f ca="1">AD144*(AD144+1)/2-AD145</f>
        <v>21.5</v>
      </c>
    </row>
    <row r="147" spans="3:31" ht="15" thickTop="1" x14ac:dyDescent="0.3">
      <c r="C147" s="2" t="s">
        <v>294</v>
      </c>
      <c r="D147" s="37" cm="1">
        <f t="array" aca="1" ref="D147" ca="1">INDIRECT("'" &amp; C147 &amp; "'!$e$95")</f>
        <v>5</v>
      </c>
      <c r="E147" s="37" cm="1">
        <f t="array" aca="1" ref="E147" ca="1">INDIRECT("'" &amp; C147 &amp; "'!$f$95")</f>
        <v>1</v>
      </c>
      <c r="F147" s="2"/>
      <c r="G147" t="s">
        <v>307</v>
      </c>
      <c r="H147">
        <f ca="1">KURT(D138:D158)</f>
        <v>0.79086732536234416</v>
      </c>
      <c r="M147" t="s">
        <v>307</v>
      </c>
      <c r="N147">
        <f ca="1">KURT(E138:E158)</f>
        <v>5.8528073045492945</v>
      </c>
      <c r="S147" s="68" t="s">
        <v>351</v>
      </c>
      <c r="T147" s="68" t="s">
        <v>333</v>
      </c>
      <c r="U147" s="68" t="s">
        <v>352</v>
      </c>
      <c r="V147" s="68" t="s">
        <v>353</v>
      </c>
      <c r="W147" s="68" t="s">
        <v>354</v>
      </c>
      <c r="X147" s="68" t="s">
        <v>355</v>
      </c>
      <c r="AC147" t="s">
        <v>364</v>
      </c>
      <c r="AD147" s="75">
        <f ca="1">[1]!SRANK(D138:D158,E138:E158)</f>
        <v>6.5</v>
      </c>
    </row>
    <row r="148" spans="3:31" x14ac:dyDescent="0.3">
      <c r="C148" s="2" t="s">
        <v>295</v>
      </c>
      <c r="D148" s="37" cm="1">
        <f t="array" aca="1" ref="D148" ca="1">INDIRECT("'" &amp; C148 &amp; "'!$e$95")</f>
        <v>3</v>
      </c>
      <c r="E148" s="37" cm="1">
        <f t="array" aca="1" ref="E148" ca="1">INDIRECT("'" &amp; C148 &amp; "'!$f$95")</f>
        <v>6</v>
      </c>
      <c r="F148" s="2"/>
      <c r="G148" t="s">
        <v>308</v>
      </c>
      <c r="H148">
        <f ca="1">SKEW(D138:D158)</f>
        <v>1.1732013780332828</v>
      </c>
      <c r="J148" s="85" t="s">
        <v>337</v>
      </c>
      <c r="K148" s="85">
        <f ca="1">[1]!DAGOSTINO(D138:D158)</f>
        <v>6.0223711680136391</v>
      </c>
      <c r="M148" t="s">
        <v>308</v>
      </c>
      <c r="N148">
        <f ca="1">SKEW(E138:E158)</f>
        <v>2.2647446431032399</v>
      </c>
      <c r="P148" s="85" t="s">
        <v>337</v>
      </c>
      <c r="Q148" s="85">
        <f ca="1">[1]!DAGOSTINO(E138:E158)</f>
        <v>23.123259649937346</v>
      </c>
      <c r="S148" t="s">
        <v>356</v>
      </c>
      <c r="T148">
        <f ca="1">_xlfn.T.DIST.RT(ABS(X144),Y144)</f>
        <v>0.10589749474265864</v>
      </c>
      <c r="U148">
        <f ca="1">_xlfn.T.INV.2T(W140*2,Y144)</f>
        <v>1.7247182429207868</v>
      </c>
      <c r="X148" s="70" t="str">
        <f ca="1">IF(T148&lt;W140,"yes","no")</f>
        <v>no</v>
      </c>
    </row>
    <row r="149" spans="3:31" x14ac:dyDescent="0.3">
      <c r="C149" s="2" t="s">
        <v>296</v>
      </c>
      <c r="D149" s="37" cm="1">
        <f t="array" aca="1" ref="D149" ca="1">INDIRECT("'" &amp; C149 &amp; "'!$e$95")</f>
        <v>1</v>
      </c>
      <c r="E149" s="37" cm="1">
        <f t="array" aca="1" ref="E149" ca="1">INDIRECT("'" &amp; C149 &amp; "'!$f$95")</f>
        <v>1</v>
      </c>
      <c r="F149" s="2"/>
      <c r="G149" t="s">
        <v>309</v>
      </c>
      <c r="H149">
        <f ca="1">H150-H151</f>
        <v>5</v>
      </c>
      <c r="J149" t="s">
        <v>333</v>
      </c>
      <c r="K149">
        <f ca="1">[1]!DPTEST(D138:D158)</f>
        <v>4.9233273963192437E-2</v>
      </c>
      <c r="M149" t="s">
        <v>309</v>
      </c>
      <c r="N149">
        <f ca="1">N150-N151</f>
        <v>5</v>
      </c>
      <c r="P149" t="s">
        <v>333</v>
      </c>
      <c r="Q149">
        <f ca="1">[1]!DPTEST(E138:E158)</f>
        <v>9.5246267414195174E-6</v>
      </c>
      <c r="S149" t="s">
        <v>357</v>
      </c>
      <c r="T149">
        <f ca="1">_xlfn.T.DIST.2T(ABS(X144),Y144)</f>
        <v>0.21179498948531728</v>
      </c>
      <c r="U149">
        <f ca="1">_xlfn.T.INV.2T(W140,Y144)</f>
        <v>2.0859634472658648</v>
      </c>
      <c r="V149">
        <f ca="1">(U142-U143)-W144*U149</f>
        <v>-0.2938696483138894</v>
      </c>
      <c r="W149">
        <f ca="1">(U142-U143)+W144*U149</f>
        <v>1.2462506006948415</v>
      </c>
      <c r="X149" s="70" t="str">
        <f ca="1">IF(T149&lt;W140,"yes","no")</f>
        <v>no</v>
      </c>
      <c r="AD149" s="70" t="s">
        <v>365</v>
      </c>
      <c r="AE149" s="70" t="s">
        <v>366</v>
      </c>
    </row>
    <row r="150" spans="3:31" x14ac:dyDescent="0.3">
      <c r="C150" s="2" t="s">
        <v>297</v>
      </c>
      <c r="D150" s="37" cm="1">
        <f t="array" aca="1" ref="D150" ca="1">INDIRECT("'" &amp; C150 &amp; "'!$e$95")</f>
        <v>3</v>
      </c>
      <c r="E150" s="37" cm="1">
        <f t="array" aca="1" ref="E150" ca="1">INDIRECT("'" &amp; C150 &amp; "'!$f$95")</f>
        <v>2</v>
      </c>
      <c r="F150" s="2"/>
      <c r="G150" s="65" t="s">
        <v>310</v>
      </c>
      <c r="H150" s="65">
        <f ca="1">MAX(D138:D158)</f>
        <v>6</v>
      </c>
      <c r="J150" t="s">
        <v>334</v>
      </c>
      <c r="K150">
        <v>0.05</v>
      </c>
      <c r="M150" t="s">
        <v>310</v>
      </c>
      <c r="N150" s="65">
        <f ca="1">MAX(E138:E158)</f>
        <v>6</v>
      </c>
      <c r="P150" t="s">
        <v>334</v>
      </c>
      <c r="Q150">
        <v>0.05</v>
      </c>
      <c r="S150" s="85"/>
      <c r="T150" s="85"/>
      <c r="U150" s="85"/>
      <c r="V150" s="85"/>
      <c r="W150" s="85"/>
      <c r="X150" s="85"/>
      <c r="AC150" t="s">
        <v>367</v>
      </c>
      <c r="AD150" s="88">
        <f ca="1">AD144*(AD144+1)/4</f>
        <v>14</v>
      </c>
    </row>
    <row r="151" spans="3:31" x14ac:dyDescent="0.3">
      <c r="C151" s="2" t="s">
        <v>298</v>
      </c>
      <c r="D151" s="37" cm="1">
        <f t="array" aca="1" ref="D151" ca="1">INDIRECT("'" &amp; C151 &amp; "'!$e$95")</f>
        <v>3</v>
      </c>
      <c r="E151" s="37" cm="1">
        <f t="array" aca="1" ref="E151" ca="1">INDIRECT("'" &amp; C151 &amp; "'!$f$95")</f>
        <v>3</v>
      </c>
      <c r="F151" s="2"/>
      <c r="G151" s="65" t="s">
        <v>311</v>
      </c>
      <c r="H151" s="65">
        <f ca="1">MIN(D138:D158)</f>
        <v>1</v>
      </c>
      <c r="J151" s="66" t="s">
        <v>335</v>
      </c>
      <c r="K151" s="66" t="str">
        <f ca="1">IF(K149&lt;K150,"no","yes")</f>
        <v>no</v>
      </c>
      <c r="M151" t="s">
        <v>311</v>
      </c>
      <c r="N151" s="65">
        <f ca="1">MIN(E138:E158)</f>
        <v>1</v>
      </c>
      <c r="P151" s="63" t="s">
        <v>335</v>
      </c>
      <c r="Q151" s="66" t="str">
        <f ca="1">IF(Q149&lt;Q150,"no","yes")</f>
        <v>no</v>
      </c>
      <c r="AC151" t="s">
        <v>368</v>
      </c>
      <c r="AD151" s="74">
        <f ca="1">SQRT(AD150*(2*AD144+1)/6-[1]!TiesCorrection(D138:D158,E138:E158,1)/48)</f>
        <v>5.8630196997792874</v>
      </c>
      <c r="AE151" t="s">
        <v>369</v>
      </c>
    </row>
    <row r="152" spans="3:31" x14ac:dyDescent="0.3">
      <c r="C152" s="2" t="s">
        <v>299</v>
      </c>
      <c r="D152" s="37" cm="1">
        <f t="array" aca="1" ref="D152" ca="1">INDIRECT("'" &amp; C152 &amp; "'!$e$95")</f>
        <v>2</v>
      </c>
      <c r="E152" s="37" cm="1">
        <f t="array" aca="1" ref="E152" ca="1">INDIRECT("'" &amp; C152 &amp; "'!$f$95")</f>
        <v>2</v>
      </c>
      <c r="F152" s="2"/>
      <c r="G152" s="65" t="s">
        <v>312</v>
      </c>
      <c r="H152" s="65">
        <f ca="1">SUM(D138:D158)</f>
        <v>48</v>
      </c>
      <c r="M152" t="s">
        <v>312</v>
      </c>
      <c r="N152" s="65">
        <f ca="1">SUM(E138:E158)</f>
        <v>38</v>
      </c>
      <c r="AC152" t="s">
        <v>370</v>
      </c>
      <c r="AD152" s="74">
        <f ca="1">ABS(ABS(AD147-AD150)-1/2)/AD151</f>
        <v>1.1939240115914183</v>
      </c>
      <c r="AE152" t="s">
        <v>371</v>
      </c>
    </row>
    <row r="153" spans="3:31" x14ac:dyDescent="0.3">
      <c r="C153" s="2" t="s">
        <v>395</v>
      </c>
      <c r="D153" s="37" cm="1">
        <f t="array" aca="1" ref="D153" ca="1">INDIRECT("'" &amp; C153 &amp; "'!$e$95")</f>
        <v>4</v>
      </c>
      <c r="E153" s="37" cm="1">
        <f t="array" aca="1" ref="E153" ca="1">INDIRECT("'" &amp; C153 &amp; "'!$f$95")</f>
        <v>1</v>
      </c>
      <c r="F153" s="2"/>
      <c r="G153" t="s">
        <v>313</v>
      </c>
      <c r="H153">
        <f ca="1">COUNT(D138:D158)</f>
        <v>21</v>
      </c>
      <c r="M153" t="s">
        <v>313</v>
      </c>
      <c r="N153">
        <f ca="1">COUNT(E138:E158)</f>
        <v>21</v>
      </c>
      <c r="AC153" t="s">
        <v>372</v>
      </c>
      <c r="AD153" s="74">
        <f ca="1">AD152/SQRT(AD144)</f>
        <v>0.45126085985421288</v>
      </c>
    </row>
    <row r="154" spans="3:31" x14ac:dyDescent="0.3">
      <c r="C154" s="2" t="s">
        <v>396</v>
      </c>
      <c r="D154" s="37" cm="1">
        <f t="array" aca="1" ref="D154" ca="1">INDIRECT("'" &amp; C154 &amp; "'!$e$95")</f>
        <v>1</v>
      </c>
      <c r="E154" s="37" cm="1">
        <f t="array" aca="1" ref="E154" ca="1">INDIRECT("'" &amp; C154 &amp; "'!$f$95")</f>
        <v>2</v>
      </c>
      <c r="F154" s="2"/>
      <c r="G154" t="s">
        <v>314</v>
      </c>
      <c r="H154">
        <f ca="1">GEOMEAN(D138:D158)</f>
        <v>1.9135812352400321</v>
      </c>
      <c r="M154" t="s">
        <v>314</v>
      </c>
      <c r="N154">
        <f ca="1">GEOMEAN(E138:E158)</f>
        <v>1.5444993735236545</v>
      </c>
      <c r="AC154" t="s">
        <v>373</v>
      </c>
      <c r="AD154" s="88">
        <f ca="1">1-_xlfn.NORM.S.DIST(AD152,TRUE)</f>
        <v>0.11625384694841989</v>
      </c>
      <c r="AE154" s="104">
        <f ca="1">2*AD154</f>
        <v>0.23250769389683978</v>
      </c>
    </row>
    <row r="155" spans="3:31" x14ac:dyDescent="0.3">
      <c r="C155" s="2" t="s">
        <v>397</v>
      </c>
      <c r="D155" s="37" cm="1">
        <f t="array" aca="1" ref="D155" ca="1">INDIRECT("'" &amp; C155 &amp; "'!$e$95")</f>
        <v>2</v>
      </c>
      <c r="E155" s="37" cm="1">
        <f t="array" aca="1" ref="E155" ca="1">INDIRECT("'" &amp; C155 &amp; "'!$f$95")</f>
        <v>2</v>
      </c>
      <c r="F155" s="2"/>
      <c r="G155" t="s">
        <v>315</v>
      </c>
      <c r="H155">
        <f ca="1">HARMEAN(D138:D158)</f>
        <v>1.632124352331606</v>
      </c>
      <c r="M155" t="s">
        <v>315</v>
      </c>
      <c r="N155">
        <f ca="1">HARMEAN(E138:E158)</f>
        <v>1.3770491803278686</v>
      </c>
      <c r="AC155" t="s">
        <v>374</v>
      </c>
      <c r="AD155" s="74">
        <f ca="1">[1]!SRDIST(AD147,AD144,1)</f>
        <v>0.109375</v>
      </c>
      <c r="AE155" s="77">
        <f ca="1">2*AD155</f>
        <v>0.21875</v>
      </c>
    </row>
    <row r="156" spans="3:31" x14ac:dyDescent="0.3">
      <c r="C156" s="2" t="s">
        <v>398</v>
      </c>
      <c r="D156" s="37" cm="1">
        <f t="array" aca="1" ref="D156" ca="1">INDIRECT("'" &amp; C156 &amp; "'!$e$95")</f>
        <v>2</v>
      </c>
      <c r="E156" s="37" cm="1">
        <f t="array" aca="1" ref="E156" ca="1">INDIRECT("'" &amp; C156 &amp; "'!$f$95")</f>
        <v>1</v>
      </c>
      <c r="F156" s="2"/>
      <c r="G156" t="s">
        <v>316</v>
      </c>
      <c r="H156">
        <f ca="1">AVEDEV(D138:D158)</f>
        <v>1.1428571428571428</v>
      </c>
      <c r="M156" t="s">
        <v>316</v>
      </c>
      <c r="N156">
        <f ca="1">AVEDEV(E138:E158)</f>
        <v>0.84807256235827666</v>
      </c>
      <c r="AC156" t="s">
        <v>375</v>
      </c>
      <c r="AD156" s="75" t="s">
        <v>376</v>
      </c>
      <c r="AE156" s="78" t="s">
        <v>376</v>
      </c>
    </row>
    <row r="157" spans="3:31" x14ac:dyDescent="0.3">
      <c r="C157" s="2" t="s">
        <v>399</v>
      </c>
      <c r="D157" s="37" cm="1">
        <f t="array" aca="1" ref="D157" ca="1">INDIRECT("'" &amp; C157 &amp; "'!$e$95")</f>
        <v>1</v>
      </c>
      <c r="E157" s="37" cm="1">
        <f t="array" aca="1" ref="E157" ca="1">INDIRECT("'" &amp; C157 &amp; "'!$f$95")</f>
        <v>1</v>
      </c>
      <c r="F157" s="2"/>
      <c r="G157" t="s">
        <v>317</v>
      </c>
      <c r="H157">
        <f ca="1">[1]!MAD(D138:D158)</f>
        <v>1</v>
      </c>
      <c r="M157" t="s">
        <v>317</v>
      </c>
      <c r="N157">
        <f ca="1">[1]!MAD(E138:E158)</f>
        <v>0</v>
      </c>
    </row>
    <row r="158" spans="3:31" x14ac:dyDescent="0.3">
      <c r="C158" s="2" t="s">
        <v>400</v>
      </c>
      <c r="D158" s="37" cm="1">
        <f t="array" aca="1" ref="D158" ca="1">INDIRECT("'" &amp; C158 &amp; "'!$e$95")</f>
        <v>1</v>
      </c>
      <c r="E158" s="37" cm="1">
        <f t="array" aca="1" ref="E158" ca="1">INDIRECT("'" &amp; C158 &amp; "'!$f$95")</f>
        <v>1</v>
      </c>
      <c r="G158" s="63" t="s">
        <v>318</v>
      </c>
      <c r="H158" s="63">
        <f ca="1">[1]!IQR(D138:D158,FALSE)</f>
        <v>2</v>
      </c>
      <c r="M158" s="63" t="s">
        <v>318</v>
      </c>
      <c r="N158" s="63">
        <f ca="1">[1]!IQR(E138:E158,FALSE)</f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7B74-A899-4295-8D1B-4298988A5F4F}">
  <sheetPr>
    <tabColor theme="7" tint="0.59999389629810485"/>
  </sheetPr>
  <dimension ref="C4:AE158"/>
  <sheetViews>
    <sheetView zoomScale="43" zoomScaleNormal="70" workbookViewId="0">
      <selection activeCell="C136" sqref="C136:E158"/>
    </sheetView>
  </sheetViews>
  <sheetFormatPr defaultRowHeight="14.4" x14ac:dyDescent="0.3"/>
  <cols>
    <col min="3" max="3" width="8.6640625" bestFit="1" customWidth="1"/>
    <col min="4" max="4" width="9.33203125" customWidth="1"/>
    <col min="5" max="5" width="7.77734375" customWidth="1"/>
    <col min="11" max="11" width="9" bestFit="1" customWidth="1"/>
    <col min="14" max="14" width="9" bestFit="1" customWidth="1"/>
    <col min="17" max="17" width="15.6640625" bestFit="1" customWidth="1"/>
    <col min="20" max="20" width="15.6640625" bestFit="1" customWidth="1"/>
    <col min="21" max="27" width="9.109375" bestFit="1" customWidth="1"/>
    <col min="30" max="31" width="15.6640625" bestFit="1" customWidth="1"/>
  </cols>
  <sheetData>
    <row r="4" spans="3:31" x14ac:dyDescent="0.3">
      <c r="C4" s="2"/>
      <c r="D4" s="82" t="s">
        <v>414</v>
      </c>
      <c r="E4" s="83"/>
    </row>
    <row r="5" spans="3:31" x14ac:dyDescent="0.3">
      <c r="C5" s="2"/>
      <c r="D5" s="2"/>
      <c r="E5" s="2"/>
    </row>
    <row r="6" spans="3:31" x14ac:dyDescent="0.3">
      <c r="C6" s="2" t="s">
        <v>285</v>
      </c>
      <c r="D6" s="37" cm="1">
        <f t="array" aca="1" ref="D6" ca="1">INDIRECT("'" &amp; C6 &amp; "'!$L$103")</f>
        <v>5</v>
      </c>
      <c r="E6" s="37"/>
      <c r="G6" t="s">
        <v>300</v>
      </c>
      <c r="J6" t="s">
        <v>331</v>
      </c>
    </row>
    <row r="7" spans="3:31" x14ac:dyDescent="0.3">
      <c r="C7" s="2" t="s">
        <v>286</v>
      </c>
      <c r="D7" s="37" cm="1">
        <f t="array" aca="1" ref="D7" ca="1">INDIRECT("'" &amp; C7 &amp; "'!$L$103")</f>
        <v>5.8</v>
      </c>
      <c r="E7" s="37"/>
    </row>
    <row r="8" spans="3:31" x14ac:dyDescent="0.3">
      <c r="C8" s="2" t="s">
        <v>287</v>
      </c>
      <c r="D8" s="37" cm="1">
        <f t="array" aca="1" ref="D8" ca="1">INDIRECT("'" &amp; C8 &amp; "'!$L$103")</f>
        <v>5.6</v>
      </c>
      <c r="E8" s="37"/>
      <c r="F8" s="79"/>
      <c r="G8" s="64"/>
      <c r="H8" s="64" t="s">
        <v>379</v>
      </c>
      <c r="I8" s="79"/>
      <c r="J8" s="64"/>
      <c r="K8" s="64" t="s">
        <v>379</v>
      </c>
      <c r="M8" s="79"/>
      <c r="N8" s="79"/>
      <c r="P8" s="79"/>
      <c r="Q8" s="79"/>
    </row>
    <row r="9" spans="3:31" x14ac:dyDescent="0.3">
      <c r="C9" s="2" t="s">
        <v>288</v>
      </c>
      <c r="D9" s="37" cm="1">
        <f t="array" aca="1" ref="D9" ca="1">INDIRECT("'" &amp; C9 &amp; "'!$L$103")</f>
        <v>6.4</v>
      </c>
      <c r="E9" s="37"/>
      <c r="G9" s="65" t="s">
        <v>301</v>
      </c>
      <c r="H9" s="65">
        <f ca="1">AVERAGE(D6:D26)</f>
        <v>5.3999999999999986</v>
      </c>
      <c r="J9" t="s">
        <v>332</v>
      </c>
      <c r="K9">
        <f ca="1">[1]!SHAPIRO(D6:D26)</f>
        <v>0.91174028967864229</v>
      </c>
      <c r="N9" s="65"/>
      <c r="S9" s="79"/>
      <c r="T9" s="79"/>
      <c r="U9" s="79"/>
      <c r="V9" s="79"/>
      <c r="W9" s="79"/>
      <c r="X9" s="79"/>
      <c r="Y9" s="79"/>
      <c r="Z9" s="79"/>
      <c r="AA9" s="79"/>
      <c r="AD9" s="65"/>
      <c r="AE9" s="65"/>
    </row>
    <row r="10" spans="3:31" x14ac:dyDescent="0.3">
      <c r="C10" s="2" t="s">
        <v>289</v>
      </c>
      <c r="D10" s="37" cm="1">
        <f t="array" aca="1" ref="D10" ca="1">INDIRECT("'" &amp; C10 &amp; "'!$L$103")</f>
        <v>6.2</v>
      </c>
      <c r="E10" s="37"/>
      <c r="G10" t="s">
        <v>302</v>
      </c>
      <c r="H10">
        <f ca="1">_xlfn.STDEV.S(D6:D26)/SQRT(COUNT(D6:D26))</f>
        <v>0.18721009333799193</v>
      </c>
      <c r="J10" t="s">
        <v>333</v>
      </c>
      <c r="K10">
        <f ca="1">[1]!SWTEST(D6:D26)</f>
        <v>5.9435993825479483E-2</v>
      </c>
      <c r="U10" s="65"/>
    </row>
    <row r="11" spans="3:31" x14ac:dyDescent="0.3">
      <c r="C11" s="2" t="s">
        <v>290</v>
      </c>
      <c r="D11" s="37" cm="1">
        <f t="array" aca="1" ref="D11" ca="1">INDIRECT("'" &amp; C11 &amp; "'!$L$103")</f>
        <v>5.2</v>
      </c>
      <c r="E11" s="37"/>
      <c r="G11" s="65" t="s">
        <v>303</v>
      </c>
      <c r="H11" s="65">
        <f ca="1">MEDIAN(D6:D26)</f>
        <v>5.4</v>
      </c>
      <c r="J11" t="s">
        <v>334</v>
      </c>
      <c r="K11">
        <v>0.05</v>
      </c>
      <c r="N11" s="65"/>
      <c r="U11" s="65"/>
    </row>
    <row r="12" spans="3:31" x14ac:dyDescent="0.3">
      <c r="C12" s="2" t="s">
        <v>291</v>
      </c>
      <c r="D12" s="37" cm="1">
        <f t="array" aca="1" ref="D12" ca="1">INDIRECT("'" &amp; C12 &amp; "'!$L$103")</f>
        <v>6.4</v>
      </c>
      <c r="E12" s="37"/>
      <c r="G12" t="s">
        <v>304</v>
      </c>
      <c r="H12">
        <f ca="1">MODE(D6:D26)</f>
        <v>5.8</v>
      </c>
      <c r="J12" s="66" t="s">
        <v>335</v>
      </c>
      <c r="K12" s="66" t="str">
        <f ca="1">IF(K10&lt;K11,"no","yes")</f>
        <v>yes</v>
      </c>
      <c r="Q12" s="80"/>
      <c r="U12" s="65"/>
    </row>
    <row r="13" spans="3:31" x14ac:dyDescent="0.3">
      <c r="C13" s="2" t="s">
        <v>292</v>
      </c>
      <c r="D13" s="37" cm="1">
        <f t="array" aca="1" ref="D13" ca="1">INDIRECT("'" &amp; C13 &amp; "'!$L$103")</f>
        <v>5.8</v>
      </c>
      <c r="E13" s="37"/>
      <c r="G13" t="s">
        <v>305</v>
      </c>
      <c r="H13">
        <f ca="1">_xlfn.STDEV.S(D6:D26)</f>
        <v>0.85790442358109609</v>
      </c>
    </row>
    <row r="14" spans="3:31" x14ac:dyDescent="0.3">
      <c r="C14" s="2" t="s">
        <v>293</v>
      </c>
      <c r="D14" s="37" cm="1">
        <f t="array" aca="1" ref="D14" ca="1">INDIRECT("'" &amp; C14 &amp; "'!$L$103")</f>
        <v>6.2</v>
      </c>
      <c r="E14" s="37"/>
      <c r="G14" t="s">
        <v>306</v>
      </c>
      <c r="H14">
        <f ca="1">_xlfn.VAR.S(D6:D26)</f>
        <v>0.73600000000001276</v>
      </c>
      <c r="J14" t="s">
        <v>336</v>
      </c>
    </row>
    <row r="15" spans="3:31" x14ac:dyDescent="0.3">
      <c r="C15" s="2" t="s">
        <v>294</v>
      </c>
      <c r="D15" s="37" cm="1">
        <f t="array" aca="1" ref="D15" ca="1">INDIRECT("'" &amp; C15 &amp; "'!$L$103")</f>
        <v>5.8</v>
      </c>
      <c r="E15" s="37"/>
      <c r="G15" t="s">
        <v>307</v>
      </c>
      <c r="H15">
        <f ca="1">KURT(D6:D26)</f>
        <v>3.1362861904288013</v>
      </c>
      <c r="S15" s="79"/>
      <c r="T15" s="79"/>
      <c r="U15" s="79"/>
      <c r="V15" s="79"/>
      <c r="W15" s="79"/>
      <c r="X15" s="79"/>
    </row>
    <row r="16" spans="3:31" x14ac:dyDescent="0.3">
      <c r="C16" s="2" t="s">
        <v>295</v>
      </c>
      <c r="D16" s="37" cm="1">
        <f t="array" aca="1" ref="D16" ca="1">INDIRECT("'" &amp; C16 &amp; "'!$L$103")</f>
        <v>6.8</v>
      </c>
      <c r="E16" s="37"/>
      <c r="G16" t="s">
        <v>308</v>
      </c>
      <c r="H16">
        <f ca="1">SKEW(D6:D26)</f>
        <v>-1.1300886002036981</v>
      </c>
      <c r="J16" s="85" t="s">
        <v>337</v>
      </c>
      <c r="K16" s="85">
        <f ca="1">[1]!DAGOSTINO(D6:D26)</f>
        <v>9.8616332650747687</v>
      </c>
      <c r="X16" s="70"/>
    </row>
    <row r="17" spans="3:31" x14ac:dyDescent="0.3">
      <c r="C17" s="2" t="s">
        <v>296</v>
      </c>
      <c r="D17" s="37" cm="1">
        <f t="array" aca="1" ref="D17" ca="1">INDIRECT("'" &amp; C17 &amp; "'!$L$103")</f>
        <v>5.2</v>
      </c>
      <c r="E17" s="37"/>
      <c r="G17" t="s">
        <v>309</v>
      </c>
      <c r="H17">
        <f ca="1">H18-H19</f>
        <v>4</v>
      </c>
      <c r="J17" t="s">
        <v>333</v>
      </c>
      <c r="K17">
        <f ca="1">[1]!DPTEST(D6:D26)</f>
        <v>7.2206042926462599E-3</v>
      </c>
      <c r="X17" s="70"/>
      <c r="AD17" s="70"/>
      <c r="AE17" s="70"/>
    </row>
    <row r="18" spans="3:31" x14ac:dyDescent="0.3">
      <c r="C18" s="2" t="s">
        <v>297</v>
      </c>
      <c r="D18" s="37" cm="1">
        <f t="array" aca="1" ref="D18" ca="1">INDIRECT("'" &amp; C18 &amp; "'!$L$103")</f>
        <v>4.8</v>
      </c>
      <c r="E18" s="37"/>
      <c r="G18" s="65" t="s">
        <v>310</v>
      </c>
      <c r="H18" s="65">
        <f ca="1">MAX(D6:D26)</f>
        <v>6.8</v>
      </c>
      <c r="J18" t="s">
        <v>334</v>
      </c>
      <c r="K18">
        <v>0.05</v>
      </c>
      <c r="N18" s="65"/>
    </row>
    <row r="19" spans="3:31" x14ac:dyDescent="0.3">
      <c r="C19" s="2" t="s">
        <v>298</v>
      </c>
      <c r="D19" s="37" cm="1">
        <f t="array" aca="1" ref="D19" ca="1">INDIRECT("'" &amp; C19 &amp; "'!$L$103")</f>
        <v>5.4</v>
      </c>
      <c r="E19" s="37"/>
      <c r="G19" s="65" t="s">
        <v>311</v>
      </c>
      <c r="H19" s="65">
        <f ca="1">MIN(D6:D26)</f>
        <v>2.8</v>
      </c>
      <c r="J19" s="66" t="s">
        <v>335</v>
      </c>
      <c r="K19" s="66" t="str">
        <f ca="1">IF(K17&lt;K18,"no","yes")</f>
        <v>no</v>
      </c>
      <c r="N19" s="65"/>
      <c r="Q19" s="80"/>
    </row>
    <row r="20" spans="3:31" x14ac:dyDescent="0.3">
      <c r="C20" s="2" t="s">
        <v>299</v>
      </c>
      <c r="D20" s="37" cm="1">
        <f t="array" aca="1" ref="D20" ca="1">INDIRECT("'" &amp; C20 &amp; "'!$L$103")</f>
        <v>4.8</v>
      </c>
      <c r="E20" s="37"/>
      <c r="G20" s="65" t="s">
        <v>312</v>
      </c>
      <c r="H20" s="65">
        <f ca="1">SUM(D6:D26)</f>
        <v>113.39999999999998</v>
      </c>
      <c r="N20" s="65"/>
    </row>
    <row r="21" spans="3:31" x14ac:dyDescent="0.3">
      <c r="C21" s="2" t="s">
        <v>395</v>
      </c>
      <c r="D21" s="37" cm="1">
        <f t="array" aca="1" ref="D21" ca="1">INDIRECT("'" &amp; C21 &amp; "'!$L$103")</f>
        <v>2.8</v>
      </c>
      <c r="E21" s="37"/>
      <c r="G21" t="s">
        <v>313</v>
      </c>
      <c r="H21">
        <f ca="1">COUNT(D6:D26)</f>
        <v>21</v>
      </c>
    </row>
    <row r="22" spans="3:31" x14ac:dyDescent="0.3">
      <c r="C22" s="2" t="s">
        <v>396</v>
      </c>
      <c r="D22" s="37" cm="1">
        <f t="array" aca="1" ref="D22" ca="1">INDIRECT("'" &amp; C22 &amp; "'!$L$103")</f>
        <v>5</v>
      </c>
      <c r="E22" s="37"/>
      <c r="G22" t="s">
        <v>314</v>
      </c>
      <c r="H22">
        <f ca="1">GEOMEAN(D6:D26)</f>
        <v>5.3224221352528964</v>
      </c>
    </row>
    <row r="23" spans="3:31" x14ac:dyDescent="0.3">
      <c r="C23" s="2" t="s">
        <v>397</v>
      </c>
      <c r="D23" s="37" cm="1">
        <f t="array" aca="1" ref="D23" ca="1">INDIRECT("'" &amp; C23 &amp; "'!$L$103")</f>
        <v>5.6</v>
      </c>
      <c r="E23" s="37"/>
      <c r="G23" t="s">
        <v>315</v>
      </c>
      <c r="H23">
        <f ca="1">HARMEAN(D6:D26)</f>
        <v>5.2262647504248916</v>
      </c>
    </row>
    <row r="24" spans="3:31" x14ac:dyDescent="0.3">
      <c r="C24" s="2" t="s">
        <v>398</v>
      </c>
      <c r="D24" s="37" cm="1">
        <f t="array" aca="1" ref="D24" ca="1">INDIRECT("'" &amp; C24 &amp; "'!$L$103")</f>
        <v>5.2</v>
      </c>
      <c r="E24" s="37"/>
      <c r="G24" t="s">
        <v>316</v>
      </c>
      <c r="H24">
        <f ca="1">AVEDEV(D6:D26)</f>
        <v>0.62857142857142867</v>
      </c>
    </row>
    <row r="25" spans="3:31" x14ac:dyDescent="0.3">
      <c r="C25" s="2" t="s">
        <v>399</v>
      </c>
      <c r="D25" s="37" cm="1">
        <f t="array" aca="1" ref="D25" ca="1">INDIRECT("'" &amp; C25 &amp; "'!$L$103")</f>
        <v>4.8</v>
      </c>
      <c r="E25" s="37"/>
      <c r="G25" t="s">
        <v>317</v>
      </c>
      <c r="H25">
        <f ca="1">[1]!MAD(D6:D26)</f>
        <v>0.40000000000000036</v>
      </c>
    </row>
    <row r="26" spans="3:31" x14ac:dyDescent="0.3">
      <c r="C26" s="2" t="s">
        <v>400</v>
      </c>
      <c r="D26" s="37" cm="1">
        <f t="array" aca="1" ref="D26" ca="1">INDIRECT("'" &amp; C26 &amp; "'!$L$103")</f>
        <v>4.5999999999999996</v>
      </c>
      <c r="E26" s="37"/>
      <c r="G26" s="63" t="s">
        <v>318</v>
      </c>
      <c r="H26" s="63">
        <f ca="1">[1]!IQR(D6:D26,FALSE)</f>
        <v>0.79999999999999982</v>
      </c>
    </row>
    <row r="30" spans="3:31" x14ac:dyDescent="0.3">
      <c r="C30" s="2"/>
      <c r="D30" s="84" t="s">
        <v>415</v>
      </c>
      <c r="E30" s="83"/>
      <c r="G30" s="107"/>
      <c r="J30" s="107"/>
    </row>
    <row r="31" spans="3:31" x14ac:dyDescent="0.3">
      <c r="C31" s="2"/>
      <c r="D31" s="2"/>
      <c r="E31" s="2"/>
      <c r="F31" s="2"/>
      <c r="G31" s="37"/>
      <c r="I31" s="2"/>
      <c r="J31" s="37"/>
    </row>
    <row r="32" spans="3:31" x14ac:dyDescent="0.3">
      <c r="C32" s="2" t="s">
        <v>285</v>
      </c>
      <c r="D32" s="37" cm="1">
        <f t="array" aca="1" ref="D32" ca="1">INDIRECT("'" &amp; C32 &amp; "'!$e$103")</f>
        <v>6</v>
      </c>
      <c r="E32" s="37"/>
      <c r="F32" s="2"/>
      <c r="G32" t="s">
        <v>300</v>
      </c>
      <c r="J32" t="s">
        <v>331</v>
      </c>
    </row>
    <row r="33" spans="3:31" x14ac:dyDescent="0.3">
      <c r="C33" s="2" t="s">
        <v>286</v>
      </c>
      <c r="D33" s="37" cm="1">
        <f t="array" aca="1" ref="D33" ca="1">INDIRECT("'" &amp; C33 &amp; "'!$e$103")</f>
        <v>6</v>
      </c>
      <c r="E33" s="37"/>
      <c r="F33" s="2"/>
    </row>
    <row r="34" spans="3:31" x14ac:dyDescent="0.3">
      <c r="C34" s="2" t="s">
        <v>287</v>
      </c>
      <c r="D34" s="37" cm="1">
        <f t="array" aca="1" ref="D34" ca="1">INDIRECT("'" &amp; C34 &amp; "'!$e$103")</f>
        <v>7</v>
      </c>
      <c r="E34" s="37"/>
      <c r="F34" s="2"/>
      <c r="G34" s="64"/>
      <c r="H34" s="64" t="s">
        <v>379</v>
      </c>
      <c r="I34" s="79"/>
      <c r="J34" s="64"/>
      <c r="K34" s="64" t="s">
        <v>379</v>
      </c>
      <c r="M34" s="79"/>
      <c r="N34" s="79"/>
      <c r="P34" s="79"/>
      <c r="Q34" s="79"/>
    </row>
    <row r="35" spans="3:31" x14ac:dyDescent="0.3">
      <c r="C35" s="2" t="s">
        <v>288</v>
      </c>
      <c r="D35" s="37" cm="1">
        <f t="array" aca="1" ref="D35" ca="1">INDIRECT("'" &amp; C35 &amp; "'!$e$103")</f>
        <v>7</v>
      </c>
      <c r="E35" s="37"/>
      <c r="F35" s="2"/>
      <c r="G35" s="65" t="s">
        <v>301</v>
      </c>
      <c r="H35" s="65">
        <f ca="1">AVERAGE(D32:D52)</f>
        <v>6.0952380952380949</v>
      </c>
      <c r="J35" t="s">
        <v>332</v>
      </c>
      <c r="K35">
        <f ca="1">[1]!SHAPIRO(D32:D52)</f>
        <v>0.83940942332385238</v>
      </c>
      <c r="N35" s="65"/>
      <c r="S35" s="79"/>
      <c r="T35" s="79"/>
      <c r="U35" s="79"/>
      <c r="V35" s="79"/>
      <c r="W35" s="79"/>
      <c r="X35" s="79"/>
      <c r="Y35" s="79"/>
      <c r="Z35" s="79"/>
      <c r="AA35" s="79"/>
      <c r="AD35" s="65"/>
      <c r="AE35" s="65"/>
    </row>
    <row r="36" spans="3:31" x14ac:dyDescent="0.3">
      <c r="C36" s="2" t="s">
        <v>289</v>
      </c>
      <c r="D36" s="37" cm="1">
        <f t="array" aca="1" ref="D36" ca="1">INDIRECT("'" &amp; C36 &amp; "'!$e$103")</f>
        <v>7</v>
      </c>
      <c r="E36" s="37"/>
      <c r="F36" s="2"/>
      <c r="G36" t="s">
        <v>302</v>
      </c>
      <c r="H36">
        <f ca="1">_xlfn.STDEV.S(D32:D52)/SQRT(COUNT(D32:D52))</f>
        <v>0.19401475035679419</v>
      </c>
      <c r="J36" t="s">
        <v>333</v>
      </c>
      <c r="K36">
        <f ca="1">[1]!SWTEST(D32:D52)</f>
        <v>2.8058884020509822E-3</v>
      </c>
      <c r="U36" s="65"/>
    </row>
    <row r="37" spans="3:31" x14ac:dyDescent="0.3">
      <c r="C37" s="2" t="s">
        <v>290</v>
      </c>
      <c r="D37" s="37" cm="1">
        <f t="array" aca="1" ref="D37" ca="1">INDIRECT("'" &amp; C37 &amp; "'!$e$103")</f>
        <v>5</v>
      </c>
      <c r="E37" s="37"/>
      <c r="F37" s="2"/>
      <c r="G37" s="65" t="s">
        <v>303</v>
      </c>
      <c r="H37" s="65">
        <f ca="1">MEDIAN(D32:D52)</f>
        <v>6</v>
      </c>
      <c r="J37" t="s">
        <v>334</v>
      </c>
      <c r="K37">
        <v>0.05</v>
      </c>
      <c r="N37" s="65"/>
      <c r="U37" s="65"/>
    </row>
    <row r="38" spans="3:31" x14ac:dyDescent="0.3">
      <c r="C38" s="2" t="s">
        <v>291</v>
      </c>
      <c r="D38" s="37" cm="1">
        <f t="array" aca="1" ref="D38" ca="1">INDIRECT("'" &amp; C38 &amp; "'!$e$103")</f>
        <v>7</v>
      </c>
      <c r="E38" s="37"/>
      <c r="F38" s="2"/>
      <c r="G38" t="s">
        <v>304</v>
      </c>
      <c r="H38">
        <f ca="1">MODE(D32:D52)</f>
        <v>6</v>
      </c>
      <c r="J38" s="66" t="s">
        <v>335</v>
      </c>
      <c r="K38" s="66" t="str">
        <f ca="1">IF(K36&lt;K37,"no","yes")</f>
        <v>no</v>
      </c>
      <c r="Q38" s="80"/>
      <c r="U38" s="65"/>
    </row>
    <row r="39" spans="3:31" x14ac:dyDescent="0.3">
      <c r="C39" s="2" t="s">
        <v>292</v>
      </c>
      <c r="D39" s="37" cm="1">
        <f t="array" aca="1" ref="D39" ca="1">INDIRECT("'" &amp; C39 &amp; "'!$e$103")</f>
        <v>6</v>
      </c>
      <c r="E39" s="37"/>
      <c r="F39" s="2"/>
      <c r="G39" t="s">
        <v>305</v>
      </c>
      <c r="H39">
        <f ca="1">_xlfn.STDEV.S(D32:D52)</f>
        <v>0.88908727944796995</v>
      </c>
    </row>
    <row r="40" spans="3:31" x14ac:dyDescent="0.3">
      <c r="C40" s="2" t="s">
        <v>293</v>
      </c>
      <c r="D40" s="37" cm="1">
        <f t="array" aca="1" ref="D40" ca="1">INDIRECT("'" &amp; C40 &amp; "'!$e$103")</f>
        <v>7</v>
      </c>
      <c r="E40" s="37"/>
      <c r="F40" s="2"/>
      <c r="G40" t="s">
        <v>306</v>
      </c>
      <c r="H40">
        <f ca="1">_xlfn.VAR.S(D32:D52)</f>
        <v>0.79047619047619266</v>
      </c>
      <c r="J40" t="s">
        <v>336</v>
      </c>
    </row>
    <row r="41" spans="3:31" x14ac:dyDescent="0.3">
      <c r="C41" s="2" t="s">
        <v>294</v>
      </c>
      <c r="D41" s="37" cm="1">
        <f t="array" aca="1" ref="D41" ca="1">INDIRECT("'" &amp; C41 &amp; "'!$e$103")</f>
        <v>6</v>
      </c>
      <c r="E41" s="37"/>
      <c r="F41" s="2"/>
      <c r="G41" t="s">
        <v>307</v>
      </c>
      <c r="H41">
        <f ca="1">KURT(D32:D52)</f>
        <v>-0.22381217959981781</v>
      </c>
      <c r="S41" s="79"/>
      <c r="T41" s="79"/>
      <c r="U41" s="79"/>
      <c r="V41" s="79"/>
      <c r="W41" s="79"/>
      <c r="X41" s="79"/>
    </row>
    <row r="42" spans="3:31" x14ac:dyDescent="0.3">
      <c r="C42" s="2" t="s">
        <v>295</v>
      </c>
      <c r="D42" s="37" cm="1">
        <f t="array" aca="1" ref="D42" ca="1">INDIRECT("'" &amp; C42 &amp; "'!$e$103")</f>
        <v>7</v>
      </c>
      <c r="E42" s="37"/>
      <c r="F42" s="2"/>
      <c r="G42" t="s">
        <v>308</v>
      </c>
      <c r="H42">
        <f ca="1">SKEW(D32:D52)</f>
        <v>-0.67114063339615726</v>
      </c>
      <c r="J42" s="85" t="s">
        <v>337</v>
      </c>
      <c r="K42" s="85">
        <f ca="1">[1]!DAGOSTINO(D32:D52)</f>
        <v>1.8820181084633911</v>
      </c>
      <c r="X42" s="70"/>
    </row>
    <row r="43" spans="3:31" x14ac:dyDescent="0.3">
      <c r="C43" s="2" t="s">
        <v>296</v>
      </c>
      <c r="D43" s="37" cm="1">
        <f t="array" aca="1" ref="D43" ca="1">INDIRECT("'" &amp; C43 &amp; "'!$e$103")</f>
        <v>6</v>
      </c>
      <c r="E43" s="37"/>
      <c r="F43" s="2"/>
      <c r="G43" t="s">
        <v>309</v>
      </c>
      <c r="H43">
        <f ca="1">H44-H45</f>
        <v>3</v>
      </c>
      <c r="J43" t="s">
        <v>333</v>
      </c>
      <c r="K43">
        <f ca="1">[1]!DPTEST(D32:D52)</f>
        <v>0.39023386948812655</v>
      </c>
      <c r="X43" s="70"/>
      <c r="AD43" s="70"/>
      <c r="AE43" s="70"/>
    </row>
    <row r="44" spans="3:31" x14ac:dyDescent="0.3">
      <c r="C44" s="2" t="s">
        <v>297</v>
      </c>
      <c r="D44" s="37" cm="1">
        <f t="array" aca="1" ref="D44" ca="1">INDIRECT("'" &amp; C44 &amp; "'!$e$103")</f>
        <v>5</v>
      </c>
      <c r="E44" s="37"/>
      <c r="F44" s="2"/>
      <c r="G44" s="65" t="s">
        <v>310</v>
      </c>
      <c r="H44" s="65">
        <f ca="1">MAX(D32:D52)</f>
        <v>7</v>
      </c>
      <c r="J44" t="s">
        <v>334</v>
      </c>
      <c r="K44">
        <v>0.05</v>
      </c>
      <c r="N44" s="65"/>
    </row>
    <row r="45" spans="3:31" x14ac:dyDescent="0.3">
      <c r="C45" s="2" t="s">
        <v>298</v>
      </c>
      <c r="D45" s="37" cm="1">
        <f t="array" aca="1" ref="D45" ca="1">INDIRECT("'" &amp; C45 &amp; "'!$e$103")</f>
        <v>5</v>
      </c>
      <c r="E45" s="37"/>
      <c r="F45" s="2"/>
      <c r="G45" s="65" t="s">
        <v>311</v>
      </c>
      <c r="H45" s="65">
        <f ca="1">MIN(D32:D52)</f>
        <v>4</v>
      </c>
      <c r="J45" s="66" t="s">
        <v>335</v>
      </c>
      <c r="K45" s="66" t="str">
        <f ca="1">IF(K43&lt;K44,"no","yes")</f>
        <v>yes</v>
      </c>
      <c r="N45" s="65"/>
      <c r="Q45" s="80"/>
    </row>
    <row r="46" spans="3:31" x14ac:dyDescent="0.3">
      <c r="C46" s="2" t="s">
        <v>299</v>
      </c>
      <c r="D46" s="37" cm="1">
        <f t="array" aca="1" ref="D46" ca="1">INDIRECT("'" &amp; C46 &amp; "'!$e$103")</f>
        <v>6</v>
      </c>
      <c r="E46" s="37"/>
      <c r="F46" s="2"/>
      <c r="G46" s="65" t="s">
        <v>312</v>
      </c>
      <c r="H46" s="65">
        <f ca="1">SUM(D32:D52)</f>
        <v>128</v>
      </c>
      <c r="N46" s="65"/>
    </row>
    <row r="47" spans="3:31" x14ac:dyDescent="0.3">
      <c r="C47" s="2" t="s">
        <v>395</v>
      </c>
      <c r="D47" s="37" cm="1">
        <f t="array" aca="1" ref="D47" ca="1">INDIRECT("'" &amp; C47 &amp; "'!$e$103")</f>
        <v>4</v>
      </c>
      <c r="E47" s="37"/>
      <c r="F47" s="2"/>
      <c r="G47" t="s">
        <v>313</v>
      </c>
      <c r="H47">
        <f ca="1">COUNT(D32:D52)</f>
        <v>21</v>
      </c>
    </row>
    <row r="48" spans="3:31" x14ac:dyDescent="0.3">
      <c r="C48" s="2" t="s">
        <v>396</v>
      </c>
      <c r="D48" s="37" cm="1">
        <f t="array" aca="1" ref="D48" ca="1">INDIRECT("'" &amp; C48 &amp; "'!$e$103")</f>
        <v>7</v>
      </c>
      <c r="E48" s="37"/>
      <c r="F48" s="2"/>
      <c r="G48" t="s">
        <v>314</v>
      </c>
      <c r="H48">
        <f ca="1">GEOMEAN(D32:D52)</f>
        <v>6.0281957871868173</v>
      </c>
    </row>
    <row r="49" spans="3:31" x14ac:dyDescent="0.3">
      <c r="C49" s="2" t="s">
        <v>397</v>
      </c>
      <c r="D49" s="37" cm="1">
        <f t="array" aca="1" ref="D49" ca="1">INDIRECT("'" &amp; C49 &amp; "'!$e$103")</f>
        <v>7</v>
      </c>
      <c r="E49" s="37"/>
      <c r="F49" s="2"/>
      <c r="G49" t="s">
        <v>315</v>
      </c>
      <c r="H49">
        <f ca="1">HARMEAN(D32:D52)</f>
        <v>5.9554355165428765</v>
      </c>
    </row>
    <row r="50" spans="3:31" x14ac:dyDescent="0.3">
      <c r="C50" s="2" t="s">
        <v>398</v>
      </c>
      <c r="D50" s="37" cm="1">
        <f t="array" aca="1" ref="D50" ca="1">INDIRECT("'" &amp; C50 &amp; "'!$e$103")</f>
        <v>6</v>
      </c>
      <c r="E50" s="37"/>
      <c r="F50" s="2"/>
      <c r="G50" t="s">
        <v>316</v>
      </c>
      <c r="H50">
        <f ca="1">AVEDEV(D32:D52)</f>
        <v>0.68934240362811783</v>
      </c>
    </row>
    <row r="51" spans="3:31" x14ac:dyDescent="0.3">
      <c r="C51" s="2" t="s">
        <v>399</v>
      </c>
      <c r="D51" s="37" cm="1">
        <f t="array" aca="1" ref="D51" ca="1">INDIRECT("'" &amp; C51 &amp; "'!$e$103")</f>
        <v>6</v>
      </c>
      <c r="E51" s="37"/>
      <c r="F51" s="2"/>
      <c r="G51" t="s">
        <v>317</v>
      </c>
      <c r="H51">
        <f ca="1">[1]!MAD(D32:D52)</f>
        <v>1</v>
      </c>
    </row>
    <row r="52" spans="3:31" x14ac:dyDescent="0.3">
      <c r="C52" s="2" t="s">
        <v>400</v>
      </c>
      <c r="D52" s="37" cm="1">
        <f t="array" aca="1" ref="D52" ca="1">INDIRECT("'" &amp; C52 &amp; "'!$e$103")</f>
        <v>5</v>
      </c>
      <c r="E52" s="37"/>
      <c r="G52" s="63" t="s">
        <v>318</v>
      </c>
      <c r="H52" s="63">
        <f ca="1">[1]!IQR(D32:D52,FALSE)</f>
        <v>1</v>
      </c>
    </row>
    <row r="56" spans="3:31" x14ac:dyDescent="0.3">
      <c r="C56" s="79"/>
      <c r="D56" s="79"/>
      <c r="F56" s="79"/>
      <c r="G56" s="79"/>
    </row>
    <row r="57" spans="3:31" x14ac:dyDescent="0.3">
      <c r="C57" s="2"/>
      <c r="D57" s="84" t="s">
        <v>416</v>
      </c>
      <c r="E57" s="83"/>
      <c r="G57" s="107"/>
      <c r="J57" s="107"/>
    </row>
    <row r="58" spans="3:31" x14ac:dyDescent="0.3">
      <c r="C58" s="2"/>
      <c r="D58" s="2"/>
      <c r="E58" s="2"/>
      <c r="F58" s="2"/>
      <c r="G58" s="37"/>
      <c r="I58" s="2"/>
      <c r="J58" s="37"/>
    </row>
    <row r="59" spans="3:31" x14ac:dyDescent="0.3">
      <c r="C59" s="2" t="s">
        <v>285</v>
      </c>
      <c r="D59" s="37" cm="1">
        <f t="array" aca="1" ref="D59" ca="1">INDIRECT("'" &amp; C59 &amp; "'!$e$104")</f>
        <v>6</v>
      </c>
      <c r="E59" s="37"/>
      <c r="F59" s="2"/>
      <c r="G59" t="s">
        <v>300</v>
      </c>
      <c r="J59" t="s">
        <v>331</v>
      </c>
    </row>
    <row r="60" spans="3:31" x14ac:dyDescent="0.3">
      <c r="C60" s="2" t="s">
        <v>286</v>
      </c>
      <c r="D60" s="37" cm="1">
        <f t="array" aca="1" ref="D60" ca="1">INDIRECT("'" &amp; C60 &amp; "'!$e$104")</f>
        <v>5</v>
      </c>
      <c r="E60" s="37"/>
      <c r="F60" s="2"/>
    </row>
    <row r="61" spans="3:31" x14ac:dyDescent="0.3">
      <c r="C61" s="2" t="s">
        <v>287</v>
      </c>
      <c r="D61" s="37" cm="1">
        <f t="array" aca="1" ref="D61" ca="1">INDIRECT("'" &amp; C61 &amp; "'!$e$104")</f>
        <v>5</v>
      </c>
      <c r="E61" s="37"/>
      <c r="F61" s="2"/>
      <c r="G61" s="64"/>
      <c r="H61" s="64" t="s">
        <v>379</v>
      </c>
      <c r="I61" s="79"/>
      <c r="J61" s="64"/>
      <c r="K61" s="64" t="s">
        <v>379</v>
      </c>
      <c r="M61" s="79"/>
      <c r="N61" s="79"/>
      <c r="P61" s="79"/>
      <c r="Q61" s="79"/>
    </row>
    <row r="62" spans="3:31" x14ac:dyDescent="0.3">
      <c r="C62" s="2" t="s">
        <v>288</v>
      </c>
      <c r="D62" s="37" cm="1">
        <f t="array" aca="1" ref="D62" ca="1">INDIRECT("'" &amp; C62 &amp; "'!$e$104")</f>
        <v>7</v>
      </c>
      <c r="E62" s="37"/>
      <c r="F62" s="2"/>
      <c r="G62" s="65" t="s">
        <v>301</v>
      </c>
      <c r="H62" s="65">
        <f ca="1">AVERAGE(D59:D79)</f>
        <v>5.2857142857142856</v>
      </c>
      <c r="J62" t="s">
        <v>332</v>
      </c>
      <c r="K62">
        <f ca="1">[1]!SHAPIRO(D59:D79)</f>
        <v>0.88944451758591936</v>
      </c>
      <c r="N62" s="65"/>
      <c r="S62" s="79"/>
      <c r="T62" s="79"/>
      <c r="U62" s="79"/>
      <c r="V62" s="79"/>
      <c r="W62" s="79"/>
      <c r="X62" s="79"/>
      <c r="Y62" s="79"/>
      <c r="Z62" s="79"/>
      <c r="AA62" s="79"/>
      <c r="AD62" s="65"/>
      <c r="AE62" s="65"/>
    </row>
    <row r="63" spans="3:31" x14ac:dyDescent="0.3">
      <c r="C63" s="2" t="s">
        <v>289</v>
      </c>
      <c r="D63" s="37" cm="1">
        <f t="array" aca="1" ref="D63" ca="1">INDIRECT("'" &amp; C63 &amp; "'!$e$104")</f>
        <v>7</v>
      </c>
      <c r="E63" s="37"/>
      <c r="F63" s="2"/>
      <c r="G63" t="s">
        <v>302</v>
      </c>
      <c r="H63">
        <f ca="1">_xlfn.STDEV.S(D59:D79)/SQRT(COUNT(D59:D79))</f>
        <v>0.29392951165735193</v>
      </c>
      <c r="J63" t="s">
        <v>333</v>
      </c>
      <c r="K63">
        <f ca="1">[1]!SWTEST(D59:D79)</f>
        <v>2.1958972142882338E-2</v>
      </c>
      <c r="U63" s="65"/>
    </row>
    <row r="64" spans="3:31" x14ac:dyDescent="0.3">
      <c r="C64" s="2" t="s">
        <v>290</v>
      </c>
      <c r="D64" s="37" cm="1">
        <f t="array" aca="1" ref="D64" ca="1">INDIRECT("'" &amp; C64 &amp; "'!$e$104")</f>
        <v>6</v>
      </c>
      <c r="E64" s="37"/>
      <c r="F64" s="2"/>
      <c r="G64" s="65" t="s">
        <v>303</v>
      </c>
      <c r="H64" s="65">
        <f ca="1">MEDIAN(D59:D79)</f>
        <v>5</v>
      </c>
      <c r="J64" t="s">
        <v>334</v>
      </c>
      <c r="K64">
        <v>0.05</v>
      </c>
      <c r="N64" s="65"/>
      <c r="U64" s="65"/>
    </row>
    <row r="65" spans="3:31" x14ac:dyDescent="0.3">
      <c r="C65" s="2" t="s">
        <v>291</v>
      </c>
      <c r="D65" s="37" cm="1">
        <f t="array" aca="1" ref="D65" ca="1">INDIRECT("'" &amp; C65 &amp; "'!$e$104")</f>
        <v>6</v>
      </c>
      <c r="E65" s="37"/>
      <c r="F65" s="2"/>
      <c r="G65" t="s">
        <v>304</v>
      </c>
      <c r="H65">
        <f ca="1">MODE(D59:D79)</f>
        <v>5</v>
      </c>
      <c r="J65" s="66" t="s">
        <v>335</v>
      </c>
      <c r="K65" s="66" t="str">
        <f ca="1">IF(K63&lt;K64,"no","yes")</f>
        <v>no</v>
      </c>
      <c r="Q65" s="80"/>
      <c r="U65" s="65"/>
    </row>
    <row r="66" spans="3:31" x14ac:dyDescent="0.3">
      <c r="C66" s="2" t="s">
        <v>292</v>
      </c>
      <c r="D66" s="37" cm="1">
        <f t="array" aca="1" ref="D66" ca="1">INDIRECT("'" &amp; C66 &amp; "'!$e$104")</f>
        <v>7</v>
      </c>
      <c r="E66" s="37"/>
      <c r="F66" s="2"/>
      <c r="G66" t="s">
        <v>305</v>
      </c>
      <c r="H66">
        <f ca="1">_xlfn.STDEV.S(D59:D79)</f>
        <v>1.3469542361512201</v>
      </c>
    </row>
    <row r="67" spans="3:31" x14ac:dyDescent="0.3">
      <c r="C67" s="2" t="s">
        <v>293</v>
      </c>
      <c r="D67" s="37" cm="1">
        <f t="array" aca="1" ref="D67" ca="1">INDIRECT("'" &amp; C67 &amp; "'!$e$104")</f>
        <v>7</v>
      </c>
      <c r="E67" s="37"/>
      <c r="F67" s="2"/>
      <c r="G67" t="s">
        <v>306</v>
      </c>
      <c r="H67">
        <f ca="1">_xlfn.VAR.S(D59:D79)</f>
        <v>1.8142857142857167</v>
      </c>
      <c r="J67" t="s">
        <v>336</v>
      </c>
    </row>
    <row r="68" spans="3:31" x14ac:dyDescent="0.3">
      <c r="C68" s="2" t="s">
        <v>294</v>
      </c>
      <c r="D68" s="37" cm="1">
        <f t="array" aca="1" ref="D68" ca="1">INDIRECT("'" &amp; C68 &amp; "'!$e$104")</f>
        <v>5</v>
      </c>
      <c r="E68" s="37"/>
      <c r="F68" s="2"/>
      <c r="G68" t="s">
        <v>307</v>
      </c>
      <c r="H68">
        <f ca="1">KURT(D59:D79)</f>
        <v>0.45844196951551774</v>
      </c>
      <c r="S68" s="79"/>
      <c r="T68" s="79"/>
      <c r="U68" s="79"/>
      <c r="V68" s="79"/>
      <c r="W68" s="79"/>
      <c r="X68" s="79"/>
    </row>
    <row r="69" spans="3:31" x14ac:dyDescent="0.3">
      <c r="C69" s="2" t="s">
        <v>295</v>
      </c>
      <c r="D69" s="37" cm="1">
        <f t="array" aca="1" ref="D69" ca="1">INDIRECT("'" &amp; C69 &amp; "'!$e$104")</f>
        <v>7</v>
      </c>
      <c r="E69" s="37"/>
      <c r="F69" s="2"/>
      <c r="G69" t="s">
        <v>308</v>
      </c>
      <c r="H69">
        <f ca="1">SKEW(D59:D79)</f>
        <v>-0.57873351457176181</v>
      </c>
      <c r="J69" s="85" t="s">
        <v>337</v>
      </c>
      <c r="K69" s="85">
        <f ca="1">[1]!DAGOSTINO(D59:D79)</f>
        <v>1.9055962224417946</v>
      </c>
      <c r="X69" s="70"/>
    </row>
    <row r="70" spans="3:31" x14ac:dyDescent="0.3">
      <c r="C70" s="2" t="s">
        <v>296</v>
      </c>
      <c r="D70" s="37" cm="1">
        <f t="array" aca="1" ref="D70" ca="1">INDIRECT("'" &amp; C70 &amp; "'!$e$104")</f>
        <v>5</v>
      </c>
      <c r="E70" s="37"/>
      <c r="F70" s="2"/>
      <c r="G70" t="s">
        <v>309</v>
      </c>
      <c r="H70">
        <f ca="1">H71-H72</f>
        <v>5</v>
      </c>
      <c r="J70" t="s">
        <v>333</v>
      </c>
      <c r="K70">
        <f ca="1">[1]!DPTEST(D59:D79)</f>
        <v>0.38566039162627452</v>
      </c>
      <c r="X70" s="70"/>
      <c r="AD70" s="70"/>
      <c r="AE70" s="70"/>
    </row>
    <row r="71" spans="3:31" x14ac:dyDescent="0.3">
      <c r="C71" s="2" t="s">
        <v>297</v>
      </c>
      <c r="D71" s="37" cm="1">
        <f t="array" aca="1" ref="D71" ca="1">INDIRECT("'" &amp; C71 &amp; "'!$e$104")</f>
        <v>4</v>
      </c>
      <c r="E71" s="37"/>
      <c r="F71" s="2"/>
      <c r="G71" s="65" t="s">
        <v>310</v>
      </c>
      <c r="H71" s="65">
        <f ca="1">MAX(D59:D79)</f>
        <v>7</v>
      </c>
      <c r="J71" t="s">
        <v>334</v>
      </c>
      <c r="K71">
        <v>0.05</v>
      </c>
      <c r="N71" s="65"/>
    </row>
    <row r="72" spans="3:31" x14ac:dyDescent="0.3">
      <c r="C72" s="2" t="s">
        <v>298</v>
      </c>
      <c r="D72" s="37" cm="1">
        <f t="array" aca="1" ref="D72" ca="1">INDIRECT("'" &amp; C72 &amp; "'!$e$104")</f>
        <v>5</v>
      </c>
      <c r="E72" s="37"/>
      <c r="F72" s="2"/>
      <c r="G72" s="65" t="s">
        <v>311</v>
      </c>
      <c r="H72" s="65">
        <f ca="1">MIN(D59:D79)</f>
        <v>2</v>
      </c>
      <c r="J72" s="66" t="s">
        <v>335</v>
      </c>
      <c r="K72" s="66" t="str">
        <f ca="1">IF(K70&lt;K71,"no","yes")</f>
        <v>yes</v>
      </c>
      <c r="N72" s="65"/>
      <c r="Q72" s="80"/>
    </row>
    <row r="73" spans="3:31" x14ac:dyDescent="0.3">
      <c r="C73" s="2" t="s">
        <v>299</v>
      </c>
      <c r="D73" s="37" cm="1">
        <f t="array" aca="1" ref="D73" ca="1">INDIRECT("'" &amp; C73 &amp; "'!$e$104")</f>
        <v>3</v>
      </c>
      <c r="E73" s="37"/>
      <c r="F73" s="2"/>
      <c r="G73" s="65" t="s">
        <v>312</v>
      </c>
      <c r="H73" s="65">
        <f ca="1">SUM(D59:D79)</f>
        <v>111</v>
      </c>
      <c r="N73" s="65"/>
    </row>
    <row r="74" spans="3:31" x14ac:dyDescent="0.3">
      <c r="C74" s="2" t="s">
        <v>395</v>
      </c>
      <c r="D74" s="37" cm="1">
        <f t="array" aca="1" ref="D74" ca="1">INDIRECT("'" &amp; C74 &amp; "'!$e$104")</f>
        <v>2</v>
      </c>
      <c r="E74" s="37"/>
      <c r="F74" s="2"/>
      <c r="G74" t="s">
        <v>313</v>
      </c>
      <c r="H74">
        <f ca="1">COUNT(D59:D79)</f>
        <v>21</v>
      </c>
    </row>
    <row r="75" spans="3:31" x14ac:dyDescent="0.3">
      <c r="C75" s="2" t="s">
        <v>396</v>
      </c>
      <c r="D75" s="37" cm="1">
        <f t="array" aca="1" ref="D75" ca="1">INDIRECT("'" &amp; C75 &amp; "'!$e$104")</f>
        <v>4</v>
      </c>
      <c r="E75" s="37"/>
      <c r="F75" s="2"/>
      <c r="G75" t="s">
        <v>314</v>
      </c>
      <c r="H75">
        <f ca="1">GEOMEAN(D59:D79)</f>
        <v>5.0854656467357282</v>
      </c>
    </row>
    <row r="76" spans="3:31" x14ac:dyDescent="0.3">
      <c r="C76" s="2" t="s">
        <v>397</v>
      </c>
      <c r="D76" s="37" cm="1">
        <f t="array" aca="1" ref="D76" ca="1">INDIRECT("'" &amp; C76 &amp; "'!$e$104")</f>
        <v>5</v>
      </c>
      <c r="E76" s="37"/>
      <c r="F76" s="2"/>
      <c r="G76" t="s">
        <v>315</v>
      </c>
      <c r="H76">
        <f ca="1">HARMEAN(D59:D79)</f>
        <v>4.8302300109529019</v>
      </c>
    </row>
    <row r="77" spans="3:31" x14ac:dyDescent="0.3">
      <c r="C77" s="2" t="s">
        <v>398</v>
      </c>
      <c r="D77" s="37" cm="1">
        <f t="array" aca="1" ref="D77" ca="1">INDIRECT("'" &amp; C77 &amp; "'!$e$104")</f>
        <v>5</v>
      </c>
      <c r="E77" s="37"/>
      <c r="F77" s="2"/>
      <c r="G77" t="s">
        <v>316</v>
      </c>
      <c r="H77">
        <f ca="1">AVEDEV(D59:D79)</f>
        <v>1.0204081632653057</v>
      </c>
    </row>
    <row r="78" spans="3:31" x14ac:dyDescent="0.3">
      <c r="C78" s="2" t="s">
        <v>399</v>
      </c>
      <c r="D78" s="37" cm="1">
        <f t="array" aca="1" ref="D78" ca="1">INDIRECT("'" &amp; C78 &amp; "'!$e$104")</f>
        <v>5</v>
      </c>
      <c r="E78" s="37"/>
      <c r="F78" s="2"/>
      <c r="G78" t="s">
        <v>317</v>
      </c>
      <c r="H78">
        <f ca="1">[1]!MAD(D59:D79)</f>
        <v>1</v>
      </c>
    </row>
    <row r="79" spans="3:31" x14ac:dyDescent="0.3">
      <c r="C79" s="2" t="s">
        <v>400</v>
      </c>
      <c r="D79" s="37" cm="1">
        <f t="array" aca="1" ref="D79" ca="1">INDIRECT("'" &amp; C79 &amp; "'!$e$104")</f>
        <v>5</v>
      </c>
      <c r="E79" s="37"/>
      <c r="G79" s="63" t="s">
        <v>318</v>
      </c>
      <c r="H79" s="63">
        <f ca="1">[1]!IQR(D59:D79,FALSE)</f>
        <v>1</v>
      </c>
    </row>
    <row r="83" spans="3:31" x14ac:dyDescent="0.3">
      <c r="C83" s="2"/>
      <c r="D83" s="84" t="s">
        <v>417</v>
      </c>
      <c r="E83" s="83"/>
      <c r="G83" s="107"/>
      <c r="J83" s="107"/>
    </row>
    <row r="84" spans="3:31" x14ac:dyDescent="0.3">
      <c r="C84" s="2"/>
      <c r="D84" s="2"/>
      <c r="E84" s="2"/>
      <c r="F84" s="2"/>
      <c r="G84" s="37"/>
      <c r="I84" s="2"/>
      <c r="J84" s="37"/>
    </row>
    <row r="85" spans="3:31" x14ac:dyDescent="0.3">
      <c r="C85" s="2" t="s">
        <v>285</v>
      </c>
      <c r="D85" s="37" cm="1">
        <f t="array" aca="1" ref="D85" ca="1">INDIRECT("'" &amp; C85 &amp; "'!$e$105")</f>
        <v>1</v>
      </c>
      <c r="E85" s="37"/>
      <c r="F85" s="2"/>
      <c r="G85" t="s">
        <v>300</v>
      </c>
      <c r="J85" t="s">
        <v>331</v>
      </c>
    </row>
    <row r="86" spans="3:31" x14ac:dyDescent="0.3">
      <c r="C86" s="2" t="s">
        <v>286</v>
      </c>
      <c r="D86" s="37" cm="1">
        <f t="array" aca="1" ref="D86" ca="1">INDIRECT("'" &amp; C86 &amp; "'!$e$105")</f>
        <v>2</v>
      </c>
      <c r="E86" s="37"/>
      <c r="F86" s="2"/>
    </row>
    <row r="87" spans="3:31" x14ac:dyDescent="0.3">
      <c r="C87" s="2" t="s">
        <v>287</v>
      </c>
      <c r="D87" s="37" cm="1">
        <f t="array" aca="1" ref="D87" ca="1">INDIRECT("'" &amp; C87 &amp; "'!$e$105")</f>
        <v>1</v>
      </c>
      <c r="E87" s="37"/>
      <c r="F87" s="2"/>
      <c r="G87" s="64"/>
      <c r="H87" s="64" t="s">
        <v>379</v>
      </c>
      <c r="I87" s="79"/>
      <c r="J87" s="64"/>
      <c r="K87" s="64" t="s">
        <v>379</v>
      </c>
      <c r="M87" s="79"/>
      <c r="N87" s="79"/>
      <c r="P87" s="79"/>
      <c r="Q87" s="79"/>
    </row>
    <row r="88" spans="3:31" x14ac:dyDescent="0.3">
      <c r="C88" s="2" t="s">
        <v>288</v>
      </c>
      <c r="D88" s="37" cm="1">
        <f t="array" aca="1" ref="D88" ca="1">INDIRECT("'" &amp; C88 &amp; "'!$e$105")</f>
        <v>2</v>
      </c>
      <c r="E88" s="37"/>
      <c r="F88" s="2"/>
      <c r="G88" s="65" t="s">
        <v>301</v>
      </c>
      <c r="H88" s="65">
        <f ca="1">AVERAGE(D85:D105)</f>
        <v>1.4761904761904763</v>
      </c>
      <c r="J88" t="s">
        <v>332</v>
      </c>
      <c r="K88">
        <f ca="1">[1]!SHAPIRO(D85:D105)</f>
        <v>0.64602869268923591</v>
      </c>
      <c r="N88" s="65"/>
      <c r="S88" s="79"/>
      <c r="T88" s="79"/>
      <c r="U88" s="79"/>
      <c r="V88" s="79"/>
      <c r="W88" s="79"/>
      <c r="X88" s="79"/>
      <c r="Y88" s="79"/>
      <c r="Z88" s="79"/>
      <c r="AA88" s="79"/>
      <c r="AD88" s="65"/>
      <c r="AE88" s="65"/>
    </row>
    <row r="89" spans="3:31" x14ac:dyDescent="0.3">
      <c r="C89" s="2" t="s">
        <v>289</v>
      </c>
      <c r="D89" s="37" cm="1">
        <f t="array" aca="1" ref="D89" ca="1">INDIRECT("'" &amp; C89 &amp; "'!$e$105")</f>
        <v>1</v>
      </c>
      <c r="E89" s="37"/>
      <c r="F89" s="2"/>
      <c r="G89" t="s">
        <v>302</v>
      </c>
      <c r="H89">
        <f ca="1">_xlfn.STDEV.S(D85:D105)/SQRT(COUNT(D85:D105))</f>
        <v>0.17753668459340238</v>
      </c>
      <c r="J89" t="s">
        <v>333</v>
      </c>
      <c r="K89">
        <f ca="1">[1]!SWTEST(D85:D105)</f>
        <v>6.2843601122963832E-6</v>
      </c>
      <c r="U89" s="65"/>
    </row>
    <row r="90" spans="3:31" x14ac:dyDescent="0.3">
      <c r="C90" s="2" t="s">
        <v>290</v>
      </c>
      <c r="D90" s="37" cm="1">
        <f t="array" aca="1" ref="D90" ca="1">INDIRECT("'" &amp; C90 &amp; "'!$e$105")</f>
        <v>1</v>
      </c>
      <c r="E90" s="37"/>
      <c r="F90" s="2"/>
      <c r="G90" s="65" t="s">
        <v>303</v>
      </c>
      <c r="H90" s="65">
        <f ca="1">MEDIAN(D85:D105)</f>
        <v>1</v>
      </c>
      <c r="J90" t="s">
        <v>334</v>
      </c>
      <c r="K90">
        <v>0.05</v>
      </c>
      <c r="N90" s="65"/>
      <c r="U90" s="65"/>
    </row>
    <row r="91" spans="3:31" x14ac:dyDescent="0.3">
      <c r="C91" s="2" t="s">
        <v>291</v>
      </c>
      <c r="D91" s="37" cm="1">
        <f t="array" aca="1" ref="D91" ca="1">INDIRECT("'" &amp; C91 &amp; "'!$e$105")</f>
        <v>1</v>
      </c>
      <c r="E91" s="37"/>
      <c r="F91" s="2"/>
      <c r="G91" t="s">
        <v>304</v>
      </c>
      <c r="H91">
        <f ca="1">MODE(D85:D105)</f>
        <v>1</v>
      </c>
      <c r="J91" s="66" t="s">
        <v>335</v>
      </c>
      <c r="K91" s="66" t="str">
        <f ca="1">IF(K89&lt;K90,"no","yes")</f>
        <v>no</v>
      </c>
      <c r="Q91" s="80"/>
      <c r="U91" s="65"/>
    </row>
    <row r="92" spans="3:31" x14ac:dyDescent="0.3">
      <c r="C92" s="2" t="s">
        <v>292</v>
      </c>
      <c r="D92" s="37" cm="1">
        <f t="array" aca="1" ref="D92" ca="1">INDIRECT("'" &amp; C92 &amp; "'!$e$105")</f>
        <v>1</v>
      </c>
      <c r="E92" s="37"/>
      <c r="F92" s="2"/>
      <c r="G92" t="s">
        <v>305</v>
      </c>
      <c r="H92">
        <f ca="1">_xlfn.STDEV.S(D85:D105)</f>
        <v>0.81357529578076671</v>
      </c>
    </row>
    <row r="93" spans="3:31" x14ac:dyDescent="0.3">
      <c r="C93" s="2" t="s">
        <v>293</v>
      </c>
      <c r="D93" s="37" cm="1">
        <f t="array" aca="1" ref="D93" ca="1">INDIRECT("'" &amp; C93 &amp; "'!$e$105")</f>
        <v>1</v>
      </c>
      <c r="E93" s="37"/>
      <c r="F93" s="2"/>
      <c r="G93" t="s">
        <v>306</v>
      </c>
      <c r="H93">
        <f ca="1">_xlfn.VAR.S(D85:D105)</f>
        <v>0.661904761904762</v>
      </c>
      <c r="J93" t="s">
        <v>336</v>
      </c>
    </row>
    <row r="94" spans="3:31" x14ac:dyDescent="0.3">
      <c r="C94" s="2" t="s">
        <v>294</v>
      </c>
      <c r="D94" s="37" cm="1">
        <f t="array" aca="1" ref="D94" ca="1">INDIRECT("'" &amp; C94 &amp; "'!$e$105")</f>
        <v>1</v>
      </c>
      <c r="E94" s="37"/>
      <c r="F94" s="2"/>
      <c r="G94" t="s">
        <v>307</v>
      </c>
      <c r="H94">
        <f ca="1">KURT(D85:D105)</f>
        <v>3.7463735940441159</v>
      </c>
      <c r="S94" s="79"/>
      <c r="T94" s="79"/>
      <c r="U94" s="79"/>
      <c r="V94" s="79"/>
      <c r="W94" s="79"/>
      <c r="X94" s="79"/>
    </row>
    <row r="95" spans="3:31" x14ac:dyDescent="0.3">
      <c r="C95" s="2" t="s">
        <v>295</v>
      </c>
      <c r="D95" s="37" cm="1">
        <f t="array" aca="1" ref="D95" ca="1">INDIRECT("'" &amp; C95 &amp; "'!$e$105")</f>
        <v>1</v>
      </c>
      <c r="E95" s="37"/>
      <c r="F95" s="2"/>
      <c r="G95" t="s">
        <v>308</v>
      </c>
      <c r="H95">
        <f ca="1">SKEW(D85:D105)</f>
        <v>1.9314432081616613</v>
      </c>
      <c r="J95" s="85" t="s">
        <v>337</v>
      </c>
      <c r="K95" s="85">
        <f ca="1">[1]!DAGOSTINO(D85:D105)</f>
        <v>17.14756436634865</v>
      </c>
      <c r="X95" s="70"/>
    </row>
    <row r="96" spans="3:31" x14ac:dyDescent="0.3">
      <c r="C96" s="2" t="s">
        <v>296</v>
      </c>
      <c r="D96" s="37" cm="1">
        <f t="array" aca="1" ref="D96" ca="1">INDIRECT("'" &amp; C96 &amp; "'!$e$105")</f>
        <v>3</v>
      </c>
      <c r="E96" s="37"/>
      <c r="F96" s="2"/>
      <c r="G96" t="s">
        <v>309</v>
      </c>
      <c r="H96">
        <f ca="1">H97-H98</f>
        <v>3</v>
      </c>
      <c r="J96" t="s">
        <v>333</v>
      </c>
      <c r="K96">
        <f ca="1">[1]!DPTEST(D85:D105)</f>
        <v>1.8899647702186329E-4</v>
      </c>
      <c r="X96" s="70"/>
      <c r="AD96" s="70"/>
      <c r="AE96" s="70"/>
    </row>
    <row r="97" spans="3:17" x14ac:dyDescent="0.3">
      <c r="C97" s="2" t="s">
        <v>297</v>
      </c>
      <c r="D97" s="37" cm="1">
        <f t="array" aca="1" ref="D97" ca="1">INDIRECT("'" &amp; C97 &amp; "'!$e$105")</f>
        <v>1</v>
      </c>
      <c r="E97" s="37"/>
      <c r="F97" s="2"/>
      <c r="G97" s="65" t="s">
        <v>310</v>
      </c>
      <c r="H97" s="65">
        <f ca="1">MAX(D85:D105)</f>
        <v>4</v>
      </c>
      <c r="J97" t="s">
        <v>334</v>
      </c>
      <c r="K97">
        <v>0.05</v>
      </c>
      <c r="N97" s="65"/>
    </row>
    <row r="98" spans="3:17" x14ac:dyDescent="0.3">
      <c r="C98" s="2" t="s">
        <v>298</v>
      </c>
      <c r="D98" s="37" cm="1">
        <f t="array" aca="1" ref="D98" ca="1">INDIRECT("'" &amp; C98 &amp; "'!$e$105")</f>
        <v>1</v>
      </c>
      <c r="E98" s="37"/>
      <c r="F98" s="2"/>
      <c r="G98" s="65" t="s">
        <v>311</v>
      </c>
      <c r="H98" s="65">
        <f ca="1">MIN(D85:D105)</f>
        <v>1</v>
      </c>
      <c r="J98" s="66" t="s">
        <v>335</v>
      </c>
      <c r="K98" s="66" t="str">
        <f ca="1">IF(K96&lt;K97,"no","yes")</f>
        <v>no</v>
      </c>
      <c r="N98" s="65"/>
      <c r="Q98" s="80"/>
    </row>
    <row r="99" spans="3:17" x14ac:dyDescent="0.3">
      <c r="C99" s="2" t="s">
        <v>299</v>
      </c>
      <c r="D99" s="37" cm="1">
        <f t="array" aca="1" ref="D99" ca="1">INDIRECT("'" &amp; C99 &amp; "'!$e$105")</f>
        <v>2</v>
      </c>
      <c r="E99" s="37"/>
      <c r="F99" s="2"/>
      <c r="G99" s="65" t="s">
        <v>312</v>
      </c>
      <c r="H99" s="65">
        <f ca="1">SUM(D85:D105)</f>
        <v>31</v>
      </c>
      <c r="N99" s="65"/>
    </row>
    <row r="100" spans="3:17" x14ac:dyDescent="0.3">
      <c r="C100" s="2" t="s">
        <v>395</v>
      </c>
      <c r="D100" s="37" cm="1">
        <f t="array" aca="1" ref="D100" ca="1">INDIRECT("'" &amp; C100 &amp; "'!$e$105")</f>
        <v>4</v>
      </c>
      <c r="E100" s="37"/>
      <c r="F100" s="2"/>
      <c r="G100" t="s">
        <v>313</v>
      </c>
      <c r="H100">
        <f ca="1">COUNT(D85:D105)</f>
        <v>21</v>
      </c>
    </row>
    <row r="101" spans="3:17" x14ac:dyDescent="0.3">
      <c r="C101" s="2" t="s">
        <v>396</v>
      </c>
      <c r="D101" s="37" cm="1">
        <f t="array" aca="1" ref="D101" ca="1">INDIRECT("'" &amp; C101 &amp; "'!$e$105")</f>
        <v>1</v>
      </c>
      <c r="E101" s="37"/>
      <c r="F101" s="2"/>
      <c r="G101" t="s">
        <v>314</v>
      </c>
      <c r="H101">
        <f ca="1">GEOMEAN(D85:D105)</f>
        <v>1.3275882245215727</v>
      </c>
    </row>
    <row r="102" spans="3:17" x14ac:dyDescent="0.3">
      <c r="C102" s="2" t="s">
        <v>397</v>
      </c>
      <c r="D102" s="37" cm="1">
        <f t="array" aca="1" ref="D102" ca="1">INDIRECT("'" &amp; C102 &amp; "'!$e$105")</f>
        <v>2</v>
      </c>
      <c r="E102" s="37"/>
      <c r="F102" s="2"/>
      <c r="G102" t="s">
        <v>315</v>
      </c>
      <c r="H102">
        <f ca="1">HARMEAN(D85:D105)</f>
        <v>1.2292682926829266</v>
      </c>
    </row>
    <row r="103" spans="3:17" x14ac:dyDescent="0.3">
      <c r="C103" s="2" t="s">
        <v>398</v>
      </c>
      <c r="D103" s="37" cm="1">
        <f t="array" aca="1" ref="D103" ca="1">INDIRECT("'" &amp; C103 &amp; "'!$e$105")</f>
        <v>1</v>
      </c>
      <c r="E103" s="37"/>
      <c r="F103" s="2"/>
      <c r="G103" t="s">
        <v>316</v>
      </c>
      <c r="H103">
        <f ca="1">AVEDEV(D85:D105)</f>
        <v>0.634920634920635</v>
      </c>
    </row>
    <row r="104" spans="3:17" x14ac:dyDescent="0.3">
      <c r="C104" s="2" t="s">
        <v>399</v>
      </c>
      <c r="D104" s="37" cm="1">
        <f t="array" aca="1" ref="D104" ca="1">INDIRECT("'" &amp; C104 &amp; "'!$e$105")</f>
        <v>1</v>
      </c>
      <c r="E104" s="37"/>
      <c r="F104" s="2"/>
      <c r="G104" t="s">
        <v>317</v>
      </c>
      <c r="H104">
        <f ca="1">[1]!MAD(D85:D105)</f>
        <v>0</v>
      </c>
    </row>
    <row r="105" spans="3:17" x14ac:dyDescent="0.3">
      <c r="C105" s="2" t="s">
        <v>400</v>
      </c>
      <c r="D105" s="37" cm="1">
        <f t="array" aca="1" ref="D105" ca="1">INDIRECT("'" &amp; C105 &amp; "'!$e$105")</f>
        <v>2</v>
      </c>
      <c r="E105" s="37"/>
      <c r="G105" s="63" t="s">
        <v>318</v>
      </c>
      <c r="H105" s="63">
        <f ca="1">[1]!IQR(D85:D105,FALSE)</f>
        <v>1</v>
      </c>
    </row>
    <row r="110" spans="3:17" x14ac:dyDescent="0.3">
      <c r="C110" s="2"/>
      <c r="D110" s="84" t="s">
        <v>418</v>
      </c>
      <c r="E110" s="83"/>
      <c r="G110" s="107"/>
      <c r="J110" s="107"/>
    </row>
    <row r="111" spans="3:17" x14ac:dyDescent="0.3">
      <c r="C111" s="2"/>
      <c r="D111" s="2"/>
      <c r="E111" s="2"/>
      <c r="F111" s="2"/>
      <c r="G111" s="37"/>
      <c r="I111" s="2"/>
      <c r="J111" s="37"/>
    </row>
    <row r="112" spans="3:17" x14ac:dyDescent="0.3">
      <c r="C112" s="2" t="s">
        <v>285</v>
      </c>
      <c r="D112" s="37" cm="1">
        <f t="array" aca="1" ref="D112" ca="1">INDIRECT("'" &amp; C112 &amp; "'!$e$106")</f>
        <v>3</v>
      </c>
      <c r="E112" s="37"/>
      <c r="F112" s="2"/>
      <c r="G112" t="s">
        <v>300</v>
      </c>
      <c r="J112" t="s">
        <v>331</v>
      </c>
    </row>
    <row r="113" spans="3:31" x14ac:dyDescent="0.3">
      <c r="C113" s="2" t="s">
        <v>286</v>
      </c>
      <c r="D113" s="37" cm="1">
        <f t="array" aca="1" ref="D113" ca="1">INDIRECT("'" &amp; C113 &amp; "'!$e$106")</f>
        <v>6</v>
      </c>
      <c r="E113" s="37"/>
      <c r="F113" s="2"/>
    </row>
    <row r="114" spans="3:31" x14ac:dyDescent="0.3">
      <c r="C114" s="2" t="s">
        <v>287</v>
      </c>
      <c r="D114" s="37" cm="1">
        <f t="array" aca="1" ref="D114" ca="1">INDIRECT("'" &amp; C114 &amp; "'!$e$106")</f>
        <v>6</v>
      </c>
      <c r="E114" s="37"/>
      <c r="F114" s="2"/>
      <c r="G114" s="64"/>
      <c r="H114" s="64" t="s">
        <v>379</v>
      </c>
      <c r="I114" s="79"/>
      <c r="J114" s="64"/>
      <c r="K114" s="64" t="s">
        <v>379</v>
      </c>
      <c r="M114" s="79"/>
      <c r="N114" s="79"/>
      <c r="P114" s="79"/>
      <c r="Q114" s="79"/>
    </row>
    <row r="115" spans="3:31" x14ac:dyDescent="0.3">
      <c r="C115" s="2" t="s">
        <v>288</v>
      </c>
      <c r="D115" s="37" cm="1">
        <f t="array" aca="1" ref="D115" ca="1">INDIRECT("'" &amp; C115 &amp; "'!$e$106")</f>
        <v>7</v>
      </c>
      <c r="E115" s="37"/>
      <c r="F115" s="2"/>
      <c r="G115" s="65" t="s">
        <v>301</v>
      </c>
      <c r="H115" s="65">
        <f ca="1">AVERAGE(D112:D132)</f>
        <v>5.0952380952380949</v>
      </c>
      <c r="J115" t="s">
        <v>332</v>
      </c>
      <c r="K115">
        <f ca="1">[1]!SHAPIRO(D112:D132)</f>
        <v>0.89066250051847007</v>
      </c>
      <c r="N115" s="65"/>
      <c r="S115" s="79"/>
      <c r="T115" s="79"/>
      <c r="U115" s="79"/>
      <c r="V115" s="79"/>
      <c r="W115" s="79"/>
      <c r="X115" s="79"/>
      <c r="Y115" s="79"/>
      <c r="Z115" s="79"/>
      <c r="AA115" s="79"/>
      <c r="AD115" s="65"/>
      <c r="AE115" s="65"/>
    </row>
    <row r="116" spans="3:31" x14ac:dyDescent="0.3">
      <c r="C116" s="2" t="s">
        <v>289</v>
      </c>
      <c r="D116" s="37" cm="1">
        <f t="array" aca="1" ref="D116" ca="1">INDIRECT("'" &amp; C116 &amp; "'!$e$106")</f>
        <v>7</v>
      </c>
      <c r="E116" s="37"/>
      <c r="F116" s="2"/>
      <c r="G116" t="s">
        <v>302</v>
      </c>
      <c r="H116">
        <f ca="1">_xlfn.STDEV.S(D112:D132)/SQRT(COUNT(D112:D132))</f>
        <v>0.35122074123020541</v>
      </c>
      <c r="J116" t="s">
        <v>333</v>
      </c>
      <c r="K116">
        <f ca="1">[1]!SWTEST(D112:D132)</f>
        <v>2.3159374912188557E-2</v>
      </c>
      <c r="U116" s="65"/>
    </row>
    <row r="117" spans="3:31" x14ac:dyDescent="0.3">
      <c r="C117" s="2" t="s">
        <v>290</v>
      </c>
      <c r="D117" s="37" cm="1">
        <f t="array" aca="1" ref="D117" ca="1">INDIRECT("'" &amp; C117 &amp; "'!$e$106")</f>
        <v>6</v>
      </c>
      <c r="E117" s="37"/>
      <c r="F117" s="2"/>
      <c r="G117" s="65" t="s">
        <v>303</v>
      </c>
      <c r="H117" s="65">
        <f ca="1">MEDIAN(D112:D132)</f>
        <v>6</v>
      </c>
      <c r="J117" t="s">
        <v>334</v>
      </c>
      <c r="K117">
        <v>0.05</v>
      </c>
      <c r="N117" s="65"/>
      <c r="U117" s="65"/>
    </row>
    <row r="118" spans="3:31" x14ac:dyDescent="0.3">
      <c r="C118" s="2" t="s">
        <v>291</v>
      </c>
      <c r="D118" s="37" cm="1">
        <f t="array" aca="1" ref="D118" ca="1">INDIRECT("'" &amp; C118 &amp; "'!$e$106")</f>
        <v>6</v>
      </c>
      <c r="E118" s="37"/>
      <c r="F118" s="2"/>
      <c r="G118" t="s">
        <v>304</v>
      </c>
      <c r="H118">
        <f ca="1">MODE(D112:D132)</f>
        <v>6</v>
      </c>
      <c r="J118" s="66" t="s">
        <v>335</v>
      </c>
      <c r="K118" s="66" t="str">
        <f ca="1">IF(K116&lt;K117,"no","yes")</f>
        <v>no</v>
      </c>
      <c r="Q118" s="80"/>
      <c r="U118" s="65"/>
    </row>
    <row r="119" spans="3:31" x14ac:dyDescent="0.3">
      <c r="C119" s="2" t="s">
        <v>292</v>
      </c>
      <c r="D119" s="37" cm="1">
        <f t="array" aca="1" ref="D119" ca="1">INDIRECT("'" &amp; C119 &amp; "'!$e$106")</f>
        <v>6</v>
      </c>
      <c r="E119" s="37"/>
      <c r="F119" s="2"/>
      <c r="G119" t="s">
        <v>305</v>
      </c>
      <c r="H119">
        <f ca="1">_xlfn.STDEV.S(D112:D132)</f>
        <v>1.6094956323259137</v>
      </c>
    </row>
    <row r="120" spans="3:31" x14ac:dyDescent="0.3">
      <c r="C120" s="2" t="s">
        <v>293</v>
      </c>
      <c r="D120" s="37" cm="1">
        <f t="array" aca="1" ref="D120" ca="1">INDIRECT("'" &amp; C120 &amp; "'!$e$106")</f>
        <v>4</v>
      </c>
      <c r="E120" s="37"/>
      <c r="F120" s="2"/>
      <c r="G120" t="s">
        <v>306</v>
      </c>
      <c r="H120">
        <f ca="1">_xlfn.VAR.S(D112:D132)</f>
        <v>2.5904761904761928</v>
      </c>
      <c r="J120" t="s">
        <v>336</v>
      </c>
    </row>
    <row r="121" spans="3:31" x14ac:dyDescent="0.3">
      <c r="C121" s="2" t="s">
        <v>294</v>
      </c>
      <c r="D121" s="37" cm="1">
        <f t="array" aca="1" ref="D121" ca="1">INDIRECT("'" &amp; C121 &amp; "'!$e$106")</f>
        <v>7</v>
      </c>
      <c r="E121" s="37"/>
      <c r="F121" s="2"/>
      <c r="G121" t="s">
        <v>307</v>
      </c>
      <c r="H121">
        <f ca="1">KURT(D112:D132)</f>
        <v>-0.65247037766344906</v>
      </c>
      <c r="S121" s="79"/>
      <c r="T121" s="79"/>
      <c r="U121" s="79"/>
      <c r="V121" s="79"/>
      <c r="W121" s="79"/>
      <c r="X121" s="79"/>
    </row>
    <row r="122" spans="3:31" x14ac:dyDescent="0.3">
      <c r="C122" s="2" t="s">
        <v>295</v>
      </c>
      <c r="D122" s="37" cm="1">
        <f t="array" aca="1" ref="D122" ca="1">INDIRECT("'" &amp; C122 &amp; "'!$e$106")</f>
        <v>7</v>
      </c>
      <c r="E122" s="37"/>
      <c r="F122" s="2"/>
      <c r="G122" t="s">
        <v>308</v>
      </c>
      <c r="H122">
        <f ca="1">SKEW(D112:D132)</f>
        <v>-0.64710049349531684</v>
      </c>
      <c r="J122" s="85" t="s">
        <v>337</v>
      </c>
      <c r="K122" s="85">
        <f ca="1">[1]!DAGOSTINO(D112:D132)</f>
        <v>2.1799915668183765</v>
      </c>
      <c r="X122" s="70"/>
    </row>
    <row r="123" spans="3:31" x14ac:dyDescent="0.3">
      <c r="C123" s="2" t="s">
        <v>296</v>
      </c>
      <c r="D123" s="37" cm="1">
        <f t="array" aca="1" ref="D123" ca="1">INDIRECT("'" &amp; C123 &amp; "'!$e$106")</f>
        <v>6</v>
      </c>
      <c r="E123" s="37"/>
      <c r="F123" s="2"/>
      <c r="G123" t="s">
        <v>309</v>
      </c>
      <c r="H123">
        <f ca="1">H124-H125</f>
        <v>5</v>
      </c>
      <c r="J123" t="s">
        <v>333</v>
      </c>
      <c r="K123">
        <f ca="1">[1]!DPTEST(D112:D132)</f>
        <v>0.33621791139710044</v>
      </c>
      <c r="X123" s="70"/>
      <c r="AD123" s="70"/>
      <c r="AE123" s="70"/>
    </row>
    <row r="124" spans="3:31" x14ac:dyDescent="0.3">
      <c r="C124" s="2" t="s">
        <v>297</v>
      </c>
      <c r="D124" s="37" cm="1">
        <f t="array" aca="1" ref="D124" ca="1">INDIRECT("'" &amp; C124 &amp; "'!$e$106")</f>
        <v>5</v>
      </c>
      <c r="E124" s="37"/>
      <c r="F124" s="2"/>
      <c r="G124" s="65" t="s">
        <v>310</v>
      </c>
      <c r="H124" s="65">
        <f ca="1">MAX(D112:D132)</f>
        <v>7</v>
      </c>
      <c r="J124" t="s">
        <v>334</v>
      </c>
      <c r="K124">
        <v>0.05</v>
      </c>
      <c r="N124" s="65"/>
    </row>
    <row r="125" spans="3:31" x14ac:dyDescent="0.3">
      <c r="C125" s="2" t="s">
        <v>298</v>
      </c>
      <c r="D125" s="37" cm="1">
        <f t="array" aca="1" ref="D125" ca="1">INDIRECT("'" &amp; C125 &amp; "'!$e$106")</f>
        <v>5</v>
      </c>
      <c r="E125" s="37"/>
      <c r="F125" s="2"/>
      <c r="G125" s="65" t="s">
        <v>311</v>
      </c>
      <c r="H125" s="65">
        <f ca="1">MIN(D112:D132)</f>
        <v>2</v>
      </c>
      <c r="J125" s="66" t="s">
        <v>335</v>
      </c>
      <c r="K125" s="66" t="str">
        <f ca="1">IF(K123&lt;K124,"no","yes")</f>
        <v>yes</v>
      </c>
      <c r="N125" s="65"/>
      <c r="Q125" s="80"/>
    </row>
    <row r="126" spans="3:31" x14ac:dyDescent="0.3">
      <c r="C126" s="2" t="s">
        <v>299</v>
      </c>
      <c r="D126" s="37" cm="1">
        <f t="array" aca="1" ref="D126" ca="1">INDIRECT("'" &amp; C126 &amp; "'!$e$106")</f>
        <v>4</v>
      </c>
      <c r="E126" s="37"/>
      <c r="F126" s="2"/>
      <c r="G126" s="65" t="s">
        <v>312</v>
      </c>
      <c r="H126" s="65">
        <f ca="1">SUM(D112:D132)</f>
        <v>107</v>
      </c>
      <c r="N126" s="65"/>
    </row>
    <row r="127" spans="3:31" x14ac:dyDescent="0.3">
      <c r="C127" s="2" t="s">
        <v>395</v>
      </c>
      <c r="D127" s="37" cm="1">
        <f t="array" aca="1" ref="D127" ca="1">INDIRECT("'" &amp; C127 &amp; "'!$e$106")</f>
        <v>2</v>
      </c>
      <c r="E127" s="37"/>
      <c r="F127" s="2"/>
      <c r="G127" t="s">
        <v>313</v>
      </c>
      <c r="H127">
        <f ca="1">COUNT(D112:D132)</f>
        <v>21</v>
      </c>
    </row>
    <row r="128" spans="3:31" x14ac:dyDescent="0.3">
      <c r="C128" s="2" t="s">
        <v>396</v>
      </c>
      <c r="D128" s="37" cm="1">
        <f t="array" aca="1" ref="D128" ca="1">INDIRECT("'" &amp; C128 &amp; "'!$e$106")</f>
        <v>4</v>
      </c>
      <c r="E128" s="37"/>
      <c r="F128" s="2"/>
      <c r="G128" t="s">
        <v>314</v>
      </c>
      <c r="H128">
        <f ca="1">GEOMEAN(D112:D132)</f>
        <v>4.7898937088112472</v>
      </c>
    </row>
    <row r="129" spans="3:31" x14ac:dyDescent="0.3">
      <c r="C129" s="2" t="s">
        <v>397</v>
      </c>
      <c r="D129" s="37" cm="1">
        <f t="array" aca="1" ref="D129" ca="1">INDIRECT("'" &amp; C129 &amp; "'!$e$106")</f>
        <v>6</v>
      </c>
      <c r="E129" s="37"/>
      <c r="F129" s="2"/>
      <c r="G129" t="s">
        <v>315</v>
      </c>
      <c r="H129">
        <f ca="1">HARMEAN(D112:D132)</f>
        <v>4.4166249374061097</v>
      </c>
    </row>
    <row r="130" spans="3:31" x14ac:dyDescent="0.3">
      <c r="C130" s="2" t="s">
        <v>398</v>
      </c>
      <c r="D130" s="37" cm="1">
        <f t="array" aca="1" ref="D130" ca="1">INDIRECT("'" &amp; C130 &amp; "'!$e$106")</f>
        <v>5</v>
      </c>
      <c r="E130" s="37"/>
      <c r="F130" s="2"/>
      <c r="G130" t="s">
        <v>316</v>
      </c>
      <c r="H130">
        <f ca="1">AVEDEV(D112:D132)</f>
        <v>1.3287981859410432</v>
      </c>
    </row>
    <row r="131" spans="3:31" x14ac:dyDescent="0.3">
      <c r="C131" s="2" t="s">
        <v>399</v>
      </c>
      <c r="D131" s="37" cm="1">
        <f t="array" aca="1" ref="D131" ca="1">INDIRECT("'" &amp; C131 &amp; "'!$e$106")</f>
        <v>2</v>
      </c>
      <c r="E131" s="37"/>
      <c r="F131" s="2"/>
      <c r="G131" t="s">
        <v>317</v>
      </c>
      <c r="H131">
        <f ca="1">[1]!MAD(D112:D132)</f>
        <v>1</v>
      </c>
    </row>
    <row r="132" spans="3:31" x14ac:dyDescent="0.3">
      <c r="C132" s="2" t="s">
        <v>400</v>
      </c>
      <c r="D132" s="37" cm="1">
        <f t="array" aca="1" ref="D132" ca="1">INDIRECT("'" &amp; C132 &amp; "'!$e$106")</f>
        <v>3</v>
      </c>
      <c r="E132" s="37"/>
      <c r="G132" s="63" t="s">
        <v>318</v>
      </c>
      <c r="H132" s="63">
        <f ca="1">[1]!IQR(D112:D132,FALSE)</f>
        <v>2</v>
      </c>
    </row>
    <row r="136" spans="3:31" x14ac:dyDescent="0.3">
      <c r="C136" s="2"/>
      <c r="D136" s="82" t="s">
        <v>419</v>
      </c>
      <c r="E136" s="83"/>
      <c r="G136" s="107"/>
      <c r="J136" s="107"/>
    </row>
    <row r="137" spans="3:31" x14ac:dyDescent="0.3">
      <c r="C137" s="2"/>
      <c r="D137" s="2"/>
      <c r="E137" s="2"/>
      <c r="F137" s="2"/>
      <c r="G137" s="37"/>
      <c r="I137" s="2"/>
      <c r="J137" s="37"/>
    </row>
    <row r="138" spans="3:31" x14ac:dyDescent="0.3">
      <c r="C138" s="2" t="s">
        <v>285</v>
      </c>
      <c r="D138" s="37" cm="1">
        <f t="array" aca="1" ref="D138" ca="1">INDIRECT("'" &amp; C138 &amp; "'!$e$107")</f>
        <v>3</v>
      </c>
      <c r="E138" s="37" cm="1">
        <f t="array" aca="1" ref="E138" ca="1">INDIRECT("'" &amp; C138 &amp; "'!$f$95")</f>
        <v>2</v>
      </c>
      <c r="F138" s="2"/>
      <c r="G138" t="s">
        <v>300</v>
      </c>
      <c r="J138" t="s">
        <v>331</v>
      </c>
      <c r="M138" t="s">
        <v>300</v>
      </c>
      <c r="P138" t="s">
        <v>331</v>
      </c>
      <c r="S138" t="s">
        <v>338</v>
      </c>
      <c r="AC138" t="s">
        <v>358</v>
      </c>
    </row>
    <row r="139" spans="3:31" x14ac:dyDescent="0.3">
      <c r="C139" s="2" t="s">
        <v>286</v>
      </c>
      <c r="D139" s="37" cm="1">
        <f t="array" aca="1" ref="D139" ca="1">INDIRECT("'" &amp; C139 &amp; "'!$e$107")</f>
        <v>6</v>
      </c>
      <c r="E139" s="37" cm="1">
        <f t="array" aca="1" ref="E139" ca="1">INDIRECT("'" &amp; C139 &amp; "'!$f$95")</f>
        <v>2</v>
      </c>
      <c r="F139" s="2"/>
    </row>
    <row r="140" spans="3:31" ht="15" thickBot="1" x14ac:dyDescent="0.35">
      <c r="C140" s="2" t="s">
        <v>287</v>
      </c>
      <c r="D140" s="37" cm="1">
        <f t="array" aca="1" ref="D140" ca="1">INDIRECT("'" &amp; C140 &amp; "'!$e$107")</f>
        <v>3</v>
      </c>
      <c r="E140" s="37" cm="1">
        <f t="array" aca="1" ref="E140" ca="1">INDIRECT("'" &amp; C140 &amp; "'!$f$95")</f>
        <v>1</v>
      </c>
      <c r="F140" s="2"/>
      <c r="G140" s="64"/>
      <c r="H140" s="64" t="s">
        <v>379</v>
      </c>
      <c r="I140" s="79"/>
      <c r="J140" s="64"/>
      <c r="K140" s="64" t="s">
        <v>379</v>
      </c>
      <c r="M140" s="64"/>
      <c r="N140" s="64" t="s">
        <v>379</v>
      </c>
      <c r="P140" s="64"/>
      <c r="Q140" s="64" t="s">
        <v>379</v>
      </c>
      <c r="S140" t="s">
        <v>339</v>
      </c>
      <c r="V140" t="s">
        <v>340</v>
      </c>
      <c r="W140">
        <v>0.05</v>
      </c>
      <c r="Y140" t="s">
        <v>341</v>
      </c>
      <c r="Z140">
        <v>0</v>
      </c>
      <c r="AD140" t="s">
        <v>381</v>
      </c>
      <c r="AE140" t="s">
        <v>382</v>
      </c>
    </row>
    <row r="141" spans="3:31" ht="15" thickTop="1" x14ac:dyDescent="0.3">
      <c r="C141" s="2" t="s">
        <v>288</v>
      </c>
      <c r="D141" s="37" cm="1">
        <f t="array" aca="1" ref="D141" ca="1">INDIRECT("'" &amp; C141 &amp; "'!$e$107")</f>
        <v>5</v>
      </c>
      <c r="E141" s="37" cm="1">
        <f t="array" aca="1" ref="E141" ca="1">INDIRECT("'" &amp; C141 &amp; "'!$f$95")</f>
        <v>1</v>
      </c>
      <c r="F141" s="2"/>
      <c r="G141" s="65" t="s">
        <v>301</v>
      </c>
      <c r="H141" s="65">
        <f ca="1">AVERAGE(D138:D158)</f>
        <v>4</v>
      </c>
      <c r="J141" t="s">
        <v>332</v>
      </c>
      <c r="K141">
        <f ca="1">[1]!SHAPIRO(D138:D158)</f>
        <v>0.89447440213187768</v>
      </c>
      <c r="M141" t="s">
        <v>301</v>
      </c>
      <c r="N141" s="65">
        <f ca="1">AVERAGE(E138:E158)</f>
        <v>1.8095238095238095</v>
      </c>
      <c r="P141" t="s">
        <v>332</v>
      </c>
      <c r="Q141">
        <f ca="1">[1]!SHAPIRO(E138:E158)</f>
        <v>0.67481306988657286</v>
      </c>
      <c r="S141" s="68" t="s">
        <v>342</v>
      </c>
      <c r="T141" s="68" t="s">
        <v>313</v>
      </c>
      <c r="U141" s="68" t="s">
        <v>301</v>
      </c>
      <c r="V141" s="68" t="s">
        <v>343</v>
      </c>
      <c r="W141" s="68" t="s">
        <v>344</v>
      </c>
      <c r="X141" s="68" t="s">
        <v>345</v>
      </c>
      <c r="Y141" s="68" t="s">
        <v>346</v>
      </c>
      <c r="Z141" s="68" t="s">
        <v>347</v>
      </c>
      <c r="AA141" s="68" t="s">
        <v>348</v>
      </c>
      <c r="AC141" t="s">
        <v>359</v>
      </c>
      <c r="AD141" s="102">
        <f ca="1">MEDIAN(D138:D158)</f>
        <v>4</v>
      </c>
      <c r="AE141" s="103">
        <f ca="1">MEDIAN(E138:E158)</f>
        <v>1</v>
      </c>
    </row>
    <row r="142" spans="3:31" x14ac:dyDescent="0.3">
      <c r="C142" s="2" t="s">
        <v>289</v>
      </c>
      <c r="D142" s="37" cm="1">
        <f t="array" aca="1" ref="D142" ca="1">INDIRECT("'" &amp; C142 &amp; "'!$e$107")</f>
        <v>3</v>
      </c>
      <c r="E142" s="37" cm="1">
        <f t="array" aca="1" ref="E142" ca="1">INDIRECT("'" &amp; C142 &amp; "'!$f$95")</f>
        <v>4</v>
      </c>
      <c r="F142" s="2"/>
      <c r="G142" t="s">
        <v>302</v>
      </c>
      <c r="H142">
        <f ca="1">_xlfn.STDEV.S(D138:D158)/SQRT(COUNT(D138:D158))</f>
        <v>0.28452131897694583</v>
      </c>
      <c r="J142" t="s">
        <v>333</v>
      </c>
      <c r="K142">
        <f ca="1">[1]!SWTEST(D138:D158)</f>
        <v>2.7382473034596511E-2</v>
      </c>
      <c r="M142" t="s">
        <v>302</v>
      </c>
      <c r="N142">
        <f ca="1">_xlfn.STDEV.S(E138:E158)/SQRT(COUNT(E138:E158))</f>
        <v>0.27272040120526392</v>
      </c>
      <c r="P142" t="s">
        <v>333</v>
      </c>
      <c r="Q142">
        <f ca="1">[1]!SWTEST(E138:E158)</f>
        <v>1.3582733112582623E-5</v>
      </c>
      <c r="S142" t="s">
        <v>379</v>
      </c>
      <c r="T142">
        <f ca="1">COUNT(D138:D158)</f>
        <v>21</v>
      </c>
      <c r="U142" s="65">
        <f ca="1">AVERAGE(D138:D158)</f>
        <v>4</v>
      </c>
      <c r="V142">
        <f ca="1">_xlfn.STDEV.S(D138:D158)</f>
        <v>1.3038404810405297</v>
      </c>
    </row>
    <row r="143" spans="3:31" x14ac:dyDescent="0.3">
      <c r="C143" s="2" t="s">
        <v>290</v>
      </c>
      <c r="D143" s="37" cm="1">
        <f t="array" aca="1" ref="D143" ca="1">INDIRECT("'" &amp; C143 &amp; "'!$e$107")</f>
        <v>2</v>
      </c>
      <c r="E143" s="37" cm="1">
        <f t="array" aca="1" ref="E143" ca="1">INDIRECT("'" &amp; C143 &amp; "'!$f$95")</f>
        <v>2</v>
      </c>
      <c r="F143" s="2"/>
      <c r="G143" s="65" t="s">
        <v>303</v>
      </c>
      <c r="H143" s="65">
        <f ca="1">MEDIAN(D138:D158)</f>
        <v>4</v>
      </c>
      <c r="J143" t="s">
        <v>334</v>
      </c>
      <c r="K143">
        <v>0.05</v>
      </c>
      <c r="M143" t="s">
        <v>303</v>
      </c>
      <c r="N143" s="65">
        <f ca="1">MEDIAN(E138:E158)</f>
        <v>1</v>
      </c>
      <c r="P143" t="s">
        <v>334</v>
      </c>
      <c r="Q143">
        <v>0.05</v>
      </c>
      <c r="S143" t="s">
        <v>380</v>
      </c>
      <c r="T143">
        <f ca="1">COUNT(E138:E158)</f>
        <v>21</v>
      </c>
      <c r="U143" s="65">
        <f ca="1">AVERAGE(E138:E158)</f>
        <v>1.8095238095238095</v>
      </c>
      <c r="V143">
        <f ca="1">_xlfn.STDEV.S(E138:E158)</f>
        <v>1.2497618820818477</v>
      </c>
      <c r="AC143" t="s">
        <v>360</v>
      </c>
      <c r="AD143" s="88">
        <f ca="1">SUMPRODUCT(--ISNUMBER(D138:D158),--ISNUMBER(E138:E158))</f>
        <v>21</v>
      </c>
    </row>
    <row r="144" spans="3:31" x14ac:dyDescent="0.3">
      <c r="C144" s="2" t="s">
        <v>291</v>
      </c>
      <c r="D144" s="37" cm="1">
        <f t="array" aca="1" ref="D144" ca="1">INDIRECT("'" &amp; C144 &amp; "'!$e$107")</f>
        <v>6</v>
      </c>
      <c r="E144" s="37" cm="1">
        <f t="array" aca="1" ref="E144" ca="1">INDIRECT("'" &amp; C144 &amp; "'!$f$95")</f>
        <v>1</v>
      </c>
      <c r="F144" s="2"/>
      <c r="G144" t="s">
        <v>304</v>
      </c>
      <c r="H144">
        <f ca="1">MODE(D138:D158)</f>
        <v>3</v>
      </c>
      <c r="J144" s="66" t="s">
        <v>335</v>
      </c>
      <c r="K144" s="66" t="str">
        <f ca="1">IF(K142&lt;K143,"no","yes")</f>
        <v>no</v>
      </c>
      <c r="M144" t="s">
        <v>304</v>
      </c>
      <c r="N144">
        <f ca="1">MODE(E138:E158)</f>
        <v>1</v>
      </c>
      <c r="P144" s="63" t="s">
        <v>335</v>
      </c>
      <c r="Q144" s="66" t="str">
        <f ca="1">IF(Q142&lt;Q143,"no","yes")</f>
        <v>no</v>
      </c>
      <c r="S144" s="85" t="s">
        <v>349</v>
      </c>
      <c r="T144" s="85">
        <f ca="1">T143</f>
        <v>21</v>
      </c>
      <c r="U144" s="100">
        <f ca="1">U142-U143</f>
        <v>2.1904761904761907</v>
      </c>
      <c r="V144" s="85">
        <f t="array" aca="1" ref="V144" ca="1">_xlfn.STDEV.S(D138:D158-E138:E158)</f>
        <v>1.6005951274150381</v>
      </c>
      <c r="W144" s="85">
        <f ca="1">V144/SQRT(T144)</f>
        <v>0.34927849182651904</v>
      </c>
      <c r="X144" s="85">
        <f ca="1">(U142-U143-Z140)/W144</f>
        <v>6.2714316562159365</v>
      </c>
      <c r="Y144" s="85">
        <f ca="1">T144-1</f>
        <v>20</v>
      </c>
      <c r="Z144" s="85">
        <f ca="1">ABS(U142-U143-Z140)/V144</f>
        <v>1.3685385847786571</v>
      </c>
      <c r="AA144" s="85">
        <f ca="1">SQRT(X144^2/(X144^2+Y144))</f>
        <v>0.81419117421550702</v>
      </c>
      <c r="AC144" t="s">
        <v>361</v>
      </c>
      <c r="AD144" s="74">
        <f ca="1">SUMPRODUCT(--ISNUMBER(D138:D158),--ISNUMBER(E138:E158),--(D138:D158&lt;&gt;E138:E158))</f>
        <v>19</v>
      </c>
    </row>
    <row r="145" spans="3:31" x14ac:dyDescent="0.3">
      <c r="C145" s="2" t="s">
        <v>292</v>
      </c>
      <c r="D145" s="37" cm="1">
        <f t="array" aca="1" ref="D145" ca="1">INDIRECT("'" &amp; C145 &amp; "'!$e$107")</f>
        <v>3</v>
      </c>
      <c r="E145" s="37" cm="1">
        <f t="array" aca="1" ref="E145" ca="1">INDIRECT("'" &amp; C145 &amp; "'!$f$95")</f>
        <v>1</v>
      </c>
      <c r="F145" s="2"/>
      <c r="G145" t="s">
        <v>305</v>
      </c>
      <c r="H145">
        <f ca="1">_xlfn.STDEV.S(D138:D158)</f>
        <v>1.3038404810405297</v>
      </c>
      <c r="M145" t="s">
        <v>305</v>
      </c>
      <c r="N145">
        <f ca="1">_xlfn.STDEV.S(E138:E158)</f>
        <v>1.2497618820818477</v>
      </c>
      <c r="AC145" t="s">
        <v>362</v>
      </c>
      <c r="AD145" s="74">
        <f ca="1">IF(AD147&lt;=AD150,AD147,AD144*(AD144+1)/2)</f>
        <v>3</v>
      </c>
    </row>
    <row r="146" spans="3:31" ht="15" thickBot="1" x14ac:dyDescent="0.35">
      <c r="C146" s="2" t="s">
        <v>293</v>
      </c>
      <c r="D146" s="37" cm="1">
        <f t="array" aca="1" ref="D146" ca="1">INDIRECT("'" &amp; C146 &amp; "'!$e$107")</f>
        <v>6</v>
      </c>
      <c r="E146" s="37" cm="1">
        <f t="array" aca="1" ref="E146" ca="1">INDIRECT("'" &amp; C146 &amp; "'!$f$95")</f>
        <v>1</v>
      </c>
      <c r="F146" s="2"/>
      <c r="G146" t="s">
        <v>306</v>
      </c>
      <c r="H146">
        <f ca="1">_xlfn.VAR.S(D138:D158)</f>
        <v>1.7</v>
      </c>
      <c r="J146" t="s">
        <v>336</v>
      </c>
      <c r="M146" t="s">
        <v>306</v>
      </c>
      <c r="N146">
        <f ca="1">_xlfn.VAR.S(E138:E158)</f>
        <v>1.5619047619047621</v>
      </c>
      <c r="P146" t="s">
        <v>336</v>
      </c>
      <c r="S146" t="s">
        <v>350</v>
      </c>
      <c r="AC146" t="s">
        <v>363</v>
      </c>
      <c r="AD146" s="74">
        <f ca="1">AD144*(AD144+1)/2-AD145</f>
        <v>187</v>
      </c>
    </row>
    <row r="147" spans="3:31" ht="15" thickTop="1" x14ac:dyDescent="0.3">
      <c r="C147" s="2" t="s">
        <v>294</v>
      </c>
      <c r="D147" s="37" cm="1">
        <f t="array" aca="1" ref="D147" ca="1">INDIRECT("'" &amp; C147 &amp; "'!$e$107")</f>
        <v>4</v>
      </c>
      <c r="E147" s="37" cm="1">
        <f t="array" aca="1" ref="E147" ca="1">INDIRECT("'" &amp; C147 &amp; "'!$f$95")</f>
        <v>1</v>
      </c>
      <c r="F147" s="2"/>
      <c r="G147" t="s">
        <v>307</v>
      </c>
      <c r="H147">
        <f ca="1">KURT(D138:D158)</f>
        <v>-1.0313846900989496</v>
      </c>
      <c r="M147" t="s">
        <v>307</v>
      </c>
      <c r="N147">
        <f ca="1">KURT(E138:E158)</f>
        <v>5.8528073045492945</v>
      </c>
      <c r="S147" s="68" t="s">
        <v>351</v>
      </c>
      <c r="T147" s="68" t="s">
        <v>333</v>
      </c>
      <c r="U147" s="68" t="s">
        <v>352</v>
      </c>
      <c r="V147" s="68" t="s">
        <v>353</v>
      </c>
      <c r="W147" s="68" t="s">
        <v>354</v>
      </c>
      <c r="X147" s="68" t="s">
        <v>355</v>
      </c>
      <c r="AC147" t="s">
        <v>364</v>
      </c>
      <c r="AD147" s="75">
        <f ca="1">[1]!SRANK(D138:D158,E138:E158)</f>
        <v>3</v>
      </c>
    </row>
    <row r="148" spans="3:31" x14ac:dyDescent="0.3">
      <c r="C148" s="2" t="s">
        <v>295</v>
      </c>
      <c r="D148" s="37" cm="1">
        <f t="array" aca="1" ref="D148" ca="1">INDIRECT("'" &amp; C148 &amp; "'!$e$107")</f>
        <v>6</v>
      </c>
      <c r="E148" s="37" cm="1">
        <f t="array" aca="1" ref="E148" ca="1">INDIRECT("'" &amp; C148 &amp; "'!$f$95")</f>
        <v>6</v>
      </c>
      <c r="F148" s="2"/>
      <c r="G148" t="s">
        <v>308</v>
      </c>
      <c r="H148">
        <f ca="1">SKEW(D138:D158)</f>
        <v>0.29918758078875746</v>
      </c>
      <c r="J148" s="85" t="s">
        <v>337</v>
      </c>
      <c r="K148" s="85">
        <f ca="1">[1]!DAGOSTINO(D138:D158)</f>
        <v>2.2754559149018245</v>
      </c>
      <c r="M148" t="s">
        <v>308</v>
      </c>
      <c r="N148">
        <f ca="1">SKEW(E138:E158)</f>
        <v>2.2647446431032399</v>
      </c>
      <c r="P148" s="85" t="s">
        <v>337</v>
      </c>
      <c r="Q148" s="85">
        <f ca="1">[1]!DAGOSTINO(E138:E158)</f>
        <v>23.123259649937346</v>
      </c>
      <c r="S148" t="s">
        <v>356</v>
      </c>
      <c r="T148">
        <f ca="1">_xlfn.T.DIST.RT(ABS(X144),Y144)</f>
        <v>2.0052844926797195E-6</v>
      </c>
      <c r="U148">
        <f ca="1">_xlfn.T.INV.2T(W140*2,Y144)</f>
        <v>1.7247182429207868</v>
      </c>
      <c r="X148" s="70" t="str">
        <f ca="1">IF(T148&lt;W140,"yes","no")</f>
        <v>yes</v>
      </c>
    </row>
    <row r="149" spans="3:31" x14ac:dyDescent="0.3">
      <c r="C149" s="2" t="s">
        <v>296</v>
      </c>
      <c r="D149" s="37" cm="1">
        <f t="array" aca="1" ref="D149" ca="1">INDIRECT("'" &amp; C149 &amp; "'!$e$107")</f>
        <v>4</v>
      </c>
      <c r="E149" s="37" cm="1">
        <f t="array" aca="1" ref="E149" ca="1">INDIRECT("'" &amp; C149 &amp; "'!$f$95")</f>
        <v>1</v>
      </c>
      <c r="F149" s="2"/>
      <c r="G149" t="s">
        <v>309</v>
      </c>
      <c r="H149">
        <f ca="1">H150-H151</f>
        <v>4</v>
      </c>
      <c r="J149" t="s">
        <v>333</v>
      </c>
      <c r="K149">
        <f ca="1">[1]!DPTEST(D138:D158)</f>
        <v>0.32054649034866411</v>
      </c>
      <c r="M149" t="s">
        <v>309</v>
      </c>
      <c r="N149">
        <f ca="1">N150-N151</f>
        <v>5</v>
      </c>
      <c r="P149" t="s">
        <v>333</v>
      </c>
      <c r="Q149">
        <f ca="1">[1]!DPTEST(E138:E158)</f>
        <v>9.5246267414195174E-6</v>
      </c>
      <c r="S149" t="s">
        <v>357</v>
      </c>
      <c r="T149">
        <f ca="1">_xlfn.T.DIST.2T(ABS(X144),Y144)</f>
        <v>4.0105689853594391E-6</v>
      </c>
      <c r="U149">
        <f ca="1">_xlfn.T.INV.2T(W140,Y144)</f>
        <v>2.0859634472658648</v>
      </c>
      <c r="V149">
        <f ca="1">(U142-U143)-W144*U149</f>
        <v>1.4618940236099229</v>
      </c>
      <c r="W149">
        <f ca="1">(U142-U143)+W144*U149</f>
        <v>2.9190583573424584</v>
      </c>
      <c r="X149" s="70" t="str">
        <f ca="1">IF(T149&lt;W140,"yes","no")</f>
        <v>yes</v>
      </c>
      <c r="AD149" s="70" t="s">
        <v>365</v>
      </c>
      <c r="AE149" s="70" t="s">
        <v>366</v>
      </c>
    </row>
    <row r="150" spans="3:31" x14ac:dyDescent="0.3">
      <c r="C150" s="2" t="s">
        <v>297</v>
      </c>
      <c r="D150" s="37" cm="1">
        <f t="array" aca="1" ref="D150" ca="1">INDIRECT("'" &amp; C150 &amp; "'!$e$107")</f>
        <v>3</v>
      </c>
      <c r="E150" s="37" cm="1">
        <f t="array" aca="1" ref="E150" ca="1">INDIRECT("'" &amp; C150 &amp; "'!$f$95")</f>
        <v>2</v>
      </c>
      <c r="F150" s="2"/>
      <c r="G150" s="65" t="s">
        <v>310</v>
      </c>
      <c r="H150" s="65">
        <f ca="1">MAX(D138:D158)</f>
        <v>6</v>
      </c>
      <c r="J150" t="s">
        <v>334</v>
      </c>
      <c r="K150">
        <v>0.05</v>
      </c>
      <c r="M150" t="s">
        <v>310</v>
      </c>
      <c r="N150" s="65">
        <f ca="1">MAX(E138:E158)</f>
        <v>6</v>
      </c>
      <c r="P150" t="s">
        <v>334</v>
      </c>
      <c r="Q150">
        <v>0.05</v>
      </c>
      <c r="S150" s="85"/>
      <c r="T150" s="85"/>
      <c r="U150" s="85"/>
      <c r="V150" s="85"/>
      <c r="W150" s="85"/>
      <c r="X150" s="85"/>
      <c r="AC150" t="s">
        <v>367</v>
      </c>
      <c r="AD150" s="88">
        <f ca="1">AD144*(AD144+1)/4</f>
        <v>95</v>
      </c>
    </row>
    <row r="151" spans="3:31" x14ac:dyDescent="0.3">
      <c r="C151" s="2" t="s">
        <v>298</v>
      </c>
      <c r="D151" s="37" cm="1">
        <f t="array" aca="1" ref="D151" ca="1">INDIRECT("'" &amp; C151 &amp; "'!$e$107")</f>
        <v>5</v>
      </c>
      <c r="E151" s="37" cm="1">
        <f t="array" aca="1" ref="E151" ca="1">INDIRECT("'" &amp; C151 &amp; "'!$f$95")</f>
        <v>3</v>
      </c>
      <c r="F151" s="2"/>
      <c r="G151" s="65" t="s">
        <v>311</v>
      </c>
      <c r="H151" s="65">
        <f ca="1">MIN(D138:D158)</f>
        <v>2</v>
      </c>
      <c r="J151" s="66" t="s">
        <v>335</v>
      </c>
      <c r="K151" s="66" t="str">
        <f ca="1">IF(K149&lt;K150,"no","yes")</f>
        <v>yes</v>
      </c>
      <c r="M151" t="s">
        <v>311</v>
      </c>
      <c r="N151" s="65">
        <f ca="1">MIN(E138:E158)</f>
        <v>1</v>
      </c>
      <c r="P151" s="63" t="s">
        <v>335</v>
      </c>
      <c r="Q151" s="66" t="str">
        <f ca="1">IF(Q149&lt;Q150,"no","yes")</f>
        <v>no</v>
      </c>
      <c r="AC151" t="s">
        <v>368</v>
      </c>
      <c r="AD151" s="74">
        <f ca="1">SQRT(AD150*(2*AD144+1)/6-[1]!TiesCorrection(D138:D158,E138:E158,1)/48)</f>
        <v>24.693116449731491</v>
      </c>
      <c r="AE151" t="s">
        <v>369</v>
      </c>
    </row>
    <row r="152" spans="3:31" x14ac:dyDescent="0.3">
      <c r="C152" s="2" t="s">
        <v>299</v>
      </c>
      <c r="D152" s="37" cm="1">
        <f t="array" aca="1" ref="D152" ca="1">INDIRECT("'" &amp; C152 &amp; "'!$e$107")</f>
        <v>5</v>
      </c>
      <c r="E152" s="37" cm="1">
        <f t="array" aca="1" ref="E152" ca="1">INDIRECT("'" &amp; C152 &amp; "'!$f$95")</f>
        <v>2</v>
      </c>
      <c r="F152" s="2"/>
      <c r="G152" s="65" t="s">
        <v>312</v>
      </c>
      <c r="H152" s="65">
        <f ca="1">SUM(D138:D158)</f>
        <v>84</v>
      </c>
      <c r="M152" t="s">
        <v>312</v>
      </c>
      <c r="N152" s="65">
        <f ca="1">SUM(E138:E158)</f>
        <v>38</v>
      </c>
      <c r="AC152" t="s">
        <v>370</v>
      </c>
      <c r="AD152" s="74">
        <f ca="1">ABS(ABS(AD147-AD150)-1/2)/AD151</f>
        <v>3.7054861093078011</v>
      </c>
      <c r="AE152" t="s">
        <v>371</v>
      </c>
    </row>
    <row r="153" spans="3:31" x14ac:dyDescent="0.3">
      <c r="C153" s="2" t="s">
        <v>395</v>
      </c>
      <c r="D153" s="37" cm="1">
        <f t="array" aca="1" ref="D153" ca="1">INDIRECT("'" &amp; C153 &amp; "'!$e$107")</f>
        <v>2</v>
      </c>
      <c r="E153" s="37" cm="1">
        <f t="array" aca="1" ref="E153" ca="1">INDIRECT("'" &amp; C153 &amp; "'!$f$95")</f>
        <v>1</v>
      </c>
      <c r="F153" s="2"/>
      <c r="G153" t="s">
        <v>313</v>
      </c>
      <c r="H153">
        <f ca="1">COUNT(D138:D158)</f>
        <v>21</v>
      </c>
      <c r="M153" t="s">
        <v>313</v>
      </c>
      <c r="N153">
        <f ca="1">COUNT(E138:E158)</f>
        <v>21</v>
      </c>
      <c r="AC153" t="s">
        <v>372</v>
      </c>
      <c r="AD153" s="74">
        <f ca="1">AD152/SQRT(AD144)</f>
        <v>0.8500968151140218</v>
      </c>
    </row>
    <row r="154" spans="3:31" x14ac:dyDescent="0.3">
      <c r="C154" s="2" t="s">
        <v>396</v>
      </c>
      <c r="D154" s="37" cm="1">
        <f t="array" aca="1" ref="D154" ca="1">INDIRECT("'" &amp; C154 &amp; "'!$e$107")</f>
        <v>3</v>
      </c>
      <c r="E154" s="37" cm="1">
        <f t="array" aca="1" ref="E154" ca="1">INDIRECT("'" &amp; C154 &amp; "'!$f$95")</f>
        <v>2</v>
      </c>
      <c r="F154" s="2"/>
      <c r="G154" t="s">
        <v>314</v>
      </c>
      <c r="H154">
        <f ca="1">GEOMEAN(D138:D158)</f>
        <v>3.7942828441805538</v>
      </c>
      <c r="M154" t="s">
        <v>314</v>
      </c>
      <c r="N154">
        <f ca="1">GEOMEAN(E138:E158)</f>
        <v>1.5444993735236545</v>
      </c>
      <c r="AC154" t="s">
        <v>373</v>
      </c>
      <c r="AD154" s="88">
        <f ca="1">1-_xlfn.NORM.S.DIST(AD152,TRUE)</f>
        <v>1.054928466127647E-4</v>
      </c>
      <c r="AE154" s="104">
        <f ca="1">2*AD154</f>
        <v>2.109856932255294E-4</v>
      </c>
    </row>
    <row r="155" spans="3:31" x14ac:dyDescent="0.3">
      <c r="C155" s="2" t="s">
        <v>397</v>
      </c>
      <c r="D155" s="37" cm="1">
        <f t="array" aca="1" ref="D155" ca="1">INDIRECT("'" &amp; C155 &amp; "'!$e$107")</f>
        <v>4</v>
      </c>
      <c r="E155" s="37" cm="1">
        <f t="array" aca="1" ref="E155" ca="1">INDIRECT("'" &amp; C155 &amp; "'!$f$95")</f>
        <v>2</v>
      </c>
      <c r="F155" s="2"/>
      <c r="G155" t="s">
        <v>315</v>
      </c>
      <c r="H155">
        <f ca="1">HARMEAN(D138:D158)</f>
        <v>3.5897435897435894</v>
      </c>
      <c r="M155" t="s">
        <v>315</v>
      </c>
      <c r="N155">
        <f ca="1">HARMEAN(E138:E158)</f>
        <v>1.3770491803278686</v>
      </c>
      <c r="AC155" t="s">
        <v>374</v>
      </c>
      <c r="AD155" s="74">
        <f ca="1">[1]!SRDIST(AD147,AD144,1)</f>
        <v>9.5367431640625E-6</v>
      </c>
      <c r="AE155" s="77">
        <f ca="1">2*AD155</f>
        <v>1.9073486328125E-5</v>
      </c>
    </row>
    <row r="156" spans="3:31" x14ac:dyDescent="0.3">
      <c r="C156" s="2" t="s">
        <v>398</v>
      </c>
      <c r="D156" s="37" cm="1">
        <f t="array" aca="1" ref="D156" ca="1">INDIRECT("'" &amp; C156 &amp; "'!$e$107")</f>
        <v>3</v>
      </c>
      <c r="E156" s="37" cm="1">
        <f t="array" aca="1" ref="E156" ca="1">INDIRECT("'" &amp; C156 &amp; "'!$f$95")</f>
        <v>1</v>
      </c>
      <c r="F156" s="2"/>
      <c r="G156" t="s">
        <v>316</v>
      </c>
      <c r="H156">
        <f ca="1">AVEDEV(D138:D158)</f>
        <v>1.0476190476190477</v>
      </c>
      <c r="M156" t="s">
        <v>316</v>
      </c>
      <c r="N156">
        <f ca="1">AVEDEV(E138:E158)</f>
        <v>0.84807256235827666</v>
      </c>
      <c r="AC156" t="s">
        <v>375</v>
      </c>
      <c r="AD156" s="75" t="s">
        <v>376</v>
      </c>
      <c r="AE156" s="78" t="s">
        <v>376</v>
      </c>
    </row>
    <row r="157" spans="3:31" x14ac:dyDescent="0.3">
      <c r="C157" s="2" t="s">
        <v>399</v>
      </c>
      <c r="D157" s="37" cm="1">
        <f t="array" aca="1" ref="D157" ca="1">INDIRECT("'" &amp; C157 &amp; "'!$e$107")</f>
        <v>4</v>
      </c>
      <c r="E157" s="37" cm="1">
        <f t="array" aca="1" ref="E157" ca="1">INDIRECT("'" &amp; C157 &amp; "'!$f$95")</f>
        <v>1</v>
      </c>
      <c r="F157" s="2"/>
      <c r="G157" t="s">
        <v>317</v>
      </c>
      <c r="H157">
        <f ca="1">[1]!MAD(D138:D158)</f>
        <v>1</v>
      </c>
      <c r="M157" t="s">
        <v>317</v>
      </c>
      <c r="N157">
        <f ca="1">[1]!MAD(E138:E158)</f>
        <v>0</v>
      </c>
    </row>
    <row r="158" spans="3:31" x14ac:dyDescent="0.3">
      <c r="C158" s="2" t="s">
        <v>400</v>
      </c>
      <c r="D158" s="37" cm="1">
        <f t="array" aca="1" ref="D158" ca="1">INDIRECT("'" &amp; C158 &amp; "'!$e$107")</f>
        <v>4</v>
      </c>
      <c r="E158" s="37" cm="1">
        <f t="array" aca="1" ref="E158" ca="1">INDIRECT("'" &amp; C158 &amp; "'!$f$95")</f>
        <v>1</v>
      </c>
      <c r="G158" s="63" t="s">
        <v>318</v>
      </c>
      <c r="H158" s="63">
        <f ca="1">[1]!IQR(D138:D158,FALSE)</f>
        <v>2</v>
      </c>
      <c r="M158" s="63" t="s">
        <v>318</v>
      </c>
      <c r="N158" s="63">
        <f ca="1">[1]!IQR(E138:E158,FALSE)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E0EE-4D9A-48E3-9D4F-19BA2603D162}">
  <sheetPr>
    <tabColor theme="7" tint="0.59999389629810485"/>
  </sheetPr>
  <dimension ref="C4:AE158"/>
  <sheetViews>
    <sheetView zoomScale="46" zoomScaleNormal="70" workbookViewId="0">
      <selection activeCell="D111" sqref="D111:E132"/>
    </sheetView>
  </sheetViews>
  <sheetFormatPr defaultRowHeight="14.4" x14ac:dyDescent="0.3"/>
  <cols>
    <col min="3" max="3" width="8.6640625" bestFit="1" customWidth="1"/>
    <col min="4" max="4" width="9.33203125" customWidth="1"/>
    <col min="5" max="5" width="7.77734375" customWidth="1"/>
    <col min="8" max="8" width="9" bestFit="1" customWidth="1"/>
    <col min="11" max="11" width="9" bestFit="1" customWidth="1"/>
    <col min="14" max="14" width="9" bestFit="1" customWidth="1"/>
    <col min="17" max="17" width="12.44140625" bestFit="1" customWidth="1"/>
    <col min="20" max="27" width="9" bestFit="1" customWidth="1"/>
    <col min="30" max="31" width="9" bestFit="1" customWidth="1"/>
  </cols>
  <sheetData>
    <row r="4" spans="3:31" x14ac:dyDescent="0.3">
      <c r="C4" s="2"/>
      <c r="D4" s="84" t="s">
        <v>420</v>
      </c>
      <c r="E4" s="83"/>
    </row>
    <row r="5" spans="3:31" x14ac:dyDescent="0.3">
      <c r="C5" s="2"/>
      <c r="D5" s="2"/>
      <c r="E5" s="2"/>
    </row>
    <row r="6" spans="3:31" x14ac:dyDescent="0.3">
      <c r="C6" s="2" t="s">
        <v>285</v>
      </c>
      <c r="D6" s="37" cm="1">
        <f t="array" aca="1" ref="D6" ca="1">INDIRECT("'" &amp; C6 &amp; "'!$L$115")</f>
        <v>5.5</v>
      </c>
      <c r="E6" s="37" cm="1">
        <f t="array" aca="1" ref="E6" ca="1">INDIRECT("'" &amp; C6 &amp; "'!$M$115")</f>
        <v>5</v>
      </c>
      <c r="G6" t="s">
        <v>300</v>
      </c>
      <c r="J6" t="s">
        <v>331</v>
      </c>
      <c r="M6" t="s">
        <v>300</v>
      </c>
      <c r="P6" t="s">
        <v>331</v>
      </c>
      <c r="S6" t="s">
        <v>338</v>
      </c>
      <c r="AC6" t="s">
        <v>358</v>
      </c>
    </row>
    <row r="7" spans="3:31" x14ac:dyDescent="0.3">
      <c r="C7" s="2" t="s">
        <v>286</v>
      </c>
      <c r="D7" s="37" cm="1">
        <f t="array" aca="1" ref="D7" ca="1">INDIRECT("'" &amp; C7 &amp; "'!$L$115")</f>
        <v>6.25</v>
      </c>
      <c r="E7" s="37" cm="1">
        <f t="array" aca="1" ref="E7" ca="1">INDIRECT("'" &amp; C7 &amp; "'!$M$115")</f>
        <v>5.25</v>
      </c>
    </row>
    <row r="8" spans="3:31" ht="15" thickBot="1" x14ac:dyDescent="0.35">
      <c r="C8" s="2" t="s">
        <v>287</v>
      </c>
      <c r="D8" s="37" cm="1">
        <f t="array" aca="1" ref="D8" ca="1">INDIRECT("'" &amp; C8 &amp; "'!$L$115")</f>
        <v>5.75</v>
      </c>
      <c r="E8" s="37" cm="1">
        <f t="array" aca="1" ref="E8" ca="1">INDIRECT("'" &amp; C8 &amp; "'!$M$115")</f>
        <v>6.75</v>
      </c>
      <c r="F8" s="79"/>
      <c r="G8" s="64"/>
      <c r="H8" s="64" t="s">
        <v>379</v>
      </c>
      <c r="I8" s="79"/>
      <c r="J8" s="64"/>
      <c r="K8" s="64" t="s">
        <v>379</v>
      </c>
      <c r="M8" s="64"/>
      <c r="N8" s="64" t="s">
        <v>379</v>
      </c>
      <c r="P8" s="64"/>
      <c r="Q8" s="64" t="s">
        <v>379</v>
      </c>
      <c r="S8" t="s">
        <v>339</v>
      </c>
      <c r="V8" t="s">
        <v>340</v>
      </c>
      <c r="W8">
        <v>0.05</v>
      </c>
      <c r="Y8" t="s">
        <v>341</v>
      </c>
      <c r="Z8">
        <v>0</v>
      </c>
      <c r="AD8" t="s">
        <v>381</v>
      </c>
      <c r="AE8" t="s">
        <v>382</v>
      </c>
    </row>
    <row r="9" spans="3:31" ht="15" thickTop="1" x14ac:dyDescent="0.3">
      <c r="C9" s="2" t="s">
        <v>288</v>
      </c>
      <c r="D9" s="37" cm="1">
        <f t="array" aca="1" ref="D9" ca="1">INDIRECT("'" &amp; C9 &amp; "'!$L$115")</f>
        <v>5.25</v>
      </c>
      <c r="E9" s="37" cm="1">
        <f t="array" aca="1" ref="E9" ca="1">INDIRECT("'" &amp; C9 &amp; "'!$M$115")</f>
        <v>6</v>
      </c>
      <c r="G9" s="65" t="s">
        <v>301</v>
      </c>
      <c r="H9" s="65">
        <f ca="1">AVERAGE(D6:D26)</f>
        <v>5.8928571428571432</v>
      </c>
      <c r="J9" t="s">
        <v>332</v>
      </c>
      <c r="K9">
        <f ca="1">[1]!SHAPIRO(D6:D26)</f>
        <v>0.96366894045962059</v>
      </c>
      <c r="M9" t="s">
        <v>301</v>
      </c>
      <c r="N9" s="65">
        <f ca="1">AVERAGE(E6:E26)</f>
        <v>5.75</v>
      </c>
      <c r="P9" t="s">
        <v>332</v>
      </c>
      <c r="Q9">
        <f ca="1">[1]!SHAPIRO(E6:E26)</f>
        <v>0.83005607847731699</v>
      </c>
      <c r="S9" s="68" t="s">
        <v>342</v>
      </c>
      <c r="T9" s="68" t="s">
        <v>313</v>
      </c>
      <c r="U9" s="68" t="s">
        <v>301</v>
      </c>
      <c r="V9" s="68" t="s">
        <v>343</v>
      </c>
      <c r="W9" s="68" t="s">
        <v>344</v>
      </c>
      <c r="X9" s="68" t="s">
        <v>345</v>
      </c>
      <c r="Y9" s="68" t="s">
        <v>346</v>
      </c>
      <c r="Z9" s="68" t="s">
        <v>347</v>
      </c>
      <c r="AA9" s="68" t="s">
        <v>348</v>
      </c>
      <c r="AC9" t="s">
        <v>359</v>
      </c>
      <c r="AD9" s="102">
        <f ca="1">MEDIAN(D6:D26)</f>
        <v>6</v>
      </c>
      <c r="AE9" s="103">
        <f ca="1">MEDIAN(E6:E26)</f>
        <v>6.25</v>
      </c>
    </row>
    <row r="10" spans="3:31" x14ac:dyDescent="0.3">
      <c r="C10" s="2" t="s">
        <v>289</v>
      </c>
      <c r="D10" s="37" cm="1">
        <f t="array" aca="1" ref="D10" ca="1">INDIRECT("'" &amp; C10 &amp; "'!$L$115")</f>
        <v>6.25</v>
      </c>
      <c r="E10" s="37" cm="1">
        <f t="array" aca="1" ref="E10" ca="1">INDIRECT("'" &amp; C10 &amp; "'!$M$115")</f>
        <v>6.25</v>
      </c>
      <c r="G10" t="s">
        <v>302</v>
      </c>
      <c r="H10">
        <f ca="1">_xlfn.STDEV.S(D6:D26)/SQRT(COUNT(D6:D26))</f>
        <v>0.12388962610235899</v>
      </c>
      <c r="J10" t="s">
        <v>333</v>
      </c>
      <c r="K10">
        <f ca="1">[1]!SWTEST(D6:D26)</f>
        <v>0.59286697020468915</v>
      </c>
      <c r="M10" t="s">
        <v>302</v>
      </c>
      <c r="N10">
        <f ca="1">_xlfn.STDEV.S(E6:E26)/SQRT(COUNT(E6:E26))</f>
        <v>0.23717082451262847</v>
      </c>
      <c r="P10" t="s">
        <v>333</v>
      </c>
      <c r="Q10">
        <f ca="1">[1]!SWTEST(E6:E26)</f>
        <v>1.9627312550243303E-3</v>
      </c>
      <c r="S10" t="s">
        <v>379</v>
      </c>
      <c r="T10">
        <f ca="1">COUNT(D6:D26)</f>
        <v>21</v>
      </c>
      <c r="U10" s="65">
        <f ca="1">AVERAGE(D6:D26)</f>
        <v>5.8928571428571432</v>
      </c>
      <c r="V10">
        <f ca="1">_xlfn.STDEV.S(D6:D26)</f>
        <v>0.56773358943383689</v>
      </c>
    </row>
    <row r="11" spans="3:31" x14ac:dyDescent="0.3">
      <c r="C11" s="2" t="s">
        <v>290</v>
      </c>
      <c r="D11" s="37" cm="1">
        <f t="array" aca="1" ref="D11" ca="1">INDIRECT("'" &amp; C11 &amp; "'!$L$115")</f>
        <v>5</v>
      </c>
      <c r="E11" s="37" cm="1">
        <f t="array" aca="1" ref="E11" ca="1">INDIRECT("'" &amp; C11 &amp; "'!$M$115")</f>
        <v>6</v>
      </c>
      <c r="G11" s="65" t="s">
        <v>303</v>
      </c>
      <c r="H11" s="65">
        <f ca="1">MEDIAN(D6:D26)</f>
        <v>6</v>
      </c>
      <c r="J11" t="s">
        <v>334</v>
      </c>
      <c r="K11">
        <v>0.05</v>
      </c>
      <c r="M11" t="s">
        <v>303</v>
      </c>
      <c r="N11" s="65">
        <f ca="1">MEDIAN(E6:E26)</f>
        <v>6.25</v>
      </c>
      <c r="P11" t="s">
        <v>334</v>
      </c>
      <c r="Q11">
        <v>0.05</v>
      </c>
      <c r="S11" t="s">
        <v>380</v>
      </c>
      <c r="T11">
        <f ca="1">COUNT(E6:E26)</f>
        <v>21</v>
      </c>
      <c r="U11" s="65">
        <f ca="1">AVERAGE(E6:E26)</f>
        <v>5.75</v>
      </c>
      <c r="V11">
        <f ca="1">_xlfn.STDEV.S(E6:E26)</f>
        <v>1.0868532559642079</v>
      </c>
      <c r="AC11" t="s">
        <v>360</v>
      </c>
      <c r="AD11" s="88">
        <f ca="1">SUMPRODUCT(--ISNUMBER(D6:D26),--ISNUMBER(E6:E26))</f>
        <v>21</v>
      </c>
    </row>
    <row r="12" spans="3:31" x14ac:dyDescent="0.3">
      <c r="C12" s="2" t="s">
        <v>291</v>
      </c>
      <c r="D12" s="37" cm="1">
        <f t="array" aca="1" ref="D12" ca="1">INDIRECT("'" &amp; C12 &amp; "'!$L$115")</f>
        <v>6</v>
      </c>
      <c r="E12" s="37" cm="1">
        <f t="array" aca="1" ref="E12" ca="1">INDIRECT("'" &amp; C12 &amp; "'!$M$115")</f>
        <v>5.25</v>
      </c>
      <c r="G12" t="s">
        <v>304</v>
      </c>
      <c r="H12">
        <f ca="1">MODE(D6:D26)</f>
        <v>6.25</v>
      </c>
      <c r="J12" s="66" t="s">
        <v>335</v>
      </c>
      <c r="K12" s="66" t="str">
        <f ca="1">IF(K10&lt;K11,"no","yes")</f>
        <v>yes</v>
      </c>
      <c r="M12" t="s">
        <v>304</v>
      </c>
      <c r="N12">
        <f ca="1">MODE(E6:E26)</f>
        <v>6.75</v>
      </c>
      <c r="P12" s="63" t="s">
        <v>335</v>
      </c>
      <c r="Q12" s="66" t="str">
        <f ca="1">IF(Q10&lt;Q11,"no","yes")</f>
        <v>no</v>
      </c>
      <c r="S12" s="85" t="s">
        <v>349</v>
      </c>
      <c r="T12" s="85">
        <f ca="1">T11</f>
        <v>21</v>
      </c>
      <c r="U12" s="100">
        <f ca="1">U10-U11</f>
        <v>0.14285714285714324</v>
      </c>
      <c r="V12" s="85">
        <f t="array" aca="1" ref="V12" ca="1">_xlfn.STDEV.S(D6:D26-E6:E26)</f>
        <v>1.1741258146261109</v>
      </c>
      <c r="W12" s="85">
        <f ca="1">V12/SQRT(T12)</f>
        <v>0.25621525813932583</v>
      </c>
      <c r="X12" s="85">
        <f ca="1">(U10-U11-Z8)/W12</f>
        <v>0.55756688299749801</v>
      </c>
      <c r="Y12" s="85">
        <f ca="1">T12-1</f>
        <v>20</v>
      </c>
      <c r="Z12" s="85">
        <f ca="1">ABS(U10-U11-Z8)/V12</f>
        <v>0.12167106887317244</v>
      </c>
      <c r="AA12" s="85">
        <f ca="1">SQRT(X12^2/(X12^2+Y12))</f>
        <v>0.1237179148263487</v>
      </c>
      <c r="AC12" t="s">
        <v>361</v>
      </c>
      <c r="AD12" s="74">
        <f ca="1">SUMPRODUCT(--ISNUMBER(D6:D26),--ISNUMBER(E6:E26),--(D6:D26&lt;&gt;E6:E26))</f>
        <v>17</v>
      </c>
    </row>
    <row r="13" spans="3:31" x14ac:dyDescent="0.3">
      <c r="C13" s="2" t="s">
        <v>292</v>
      </c>
      <c r="D13" s="37" cm="1">
        <f t="array" aca="1" ref="D13" ca="1">INDIRECT("'" &amp; C13 &amp; "'!$L$115")</f>
        <v>5.25</v>
      </c>
      <c r="E13" s="37" cm="1">
        <f t="array" aca="1" ref="E13" ca="1">INDIRECT("'" &amp; C13 &amp; "'!$M$115")</f>
        <v>6.5</v>
      </c>
      <c r="G13" t="s">
        <v>305</v>
      </c>
      <c r="H13">
        <f ca="1">_xlfn.STDEV.S(D6:D26)</f>
        <v>0.56773358943383689</v>
      </c>
      <c r="M13" t="s">
        <v>305</v>
      </c>
      <c r="N13">
        <f ca="1">_xlfn.STDEV.S(E6:E26)</f>
        <v>1.0868532559642079</v>
      </c>
      <c r="AC13" t="s">
        <v>362</v>
      </c>
      <c r="AD13" s="74">
        <f ca="1">IF(AD15&lt;=AD18,AD15,AD12*(AD12+1)/2)</f>
        <v>71.5</v>
      </c>
    </row>
    <row r="14" spans="3:31" ht="15" thickBot="1" x14ac:dyDescent="0.35">
      <c r="C14" s="2" t="s">
        <v>293</v>
      </c>
      <c r="D14" s="37" cm="1">
        <f t="array" aca="1" ref="D14" ca="1">INDIRECT("'" &amp; C14 &amp; "'!$L$115")</f>
        <v>6.5</v>
      </c>
      <c r="E14" s="37" cm="1">
        <f t="array" aca="1" ref="E14" ca="1">INDIRECT("'" &amp; C14 &amp; "'!$M$115")</f>
        <v>6.5</v>
      </c>
      <c r="G14" t="s">
        <v>306</v>
      </c>
      <c r="H14">
        <f ca="1">_xlfn.VAR.S(D6:D26)</f>
        <v>0.32232142857142854</v>
      </c>
      <c r="J14" t="s">
        <v>336</v>
      </c>
      <c r="M14" t="s">
        <v>306</v>
      </c>
      <c r="N14">
        <f ca="1">_xlfn.VAR.S(E6:E26)</f>
        <v>1.1812499999999999</v>
      </c>
      <c r="P14" t="s">
        <v>336</v>
      </c>
      <c r="S14" t="s">
        <v>350</v>
      </c>
      <c r="AC14" t="s">
        <v>363</v>
      </c>
      <c r="AD14" s="74">
        <f ca="1">AD12*(AD12+1)/2-AD13</f>
        <v>81.5</v>
      </c>
    </row>
    <row r="15" spans="3:31" ht="15" thickTop="1" x14ac:dyDescent="0.3">
      <c r="C15" s="2" t="s">
        <v>294</v>
      </c>
      <c r="D15" s="37" cm="1">
        <f t="array" aca="1" ref="D15" ca="1">INDIRECT("'" &amp; C15 &amp; "'!$L$115")</f>
        <v>7</v>
      </c>
      <c r="E15" s="37" cm="1">
        <f t="array" aca="1" ref="E15" ca="1">INDIRECT("'" &amp; C15 &amp; "'!$M$115")</f>
        <v>5.25</v>
      </c>
      <c r="G15" t="s">
        <v>307</v>
      </c>
      <c r="H15">
        <f ca="1">KURT(D6:D26)</f>
        <v>-0.77050634889800351</v>
      </c>
      <c r="M15" t="s">
        <v>307</v>
      </c>
      <c r="N15">
        <f ca="1">KURT(E6:E26)</f>
        <v>2.6982064214033028</v>
      </c>
      <c r="S15" s="68" t="s">
        <v>351</v>
      </c>
      <c r="T15" s="68" t="s">
        <v>333</v>
      </c>
      <c r="U15" s="68" t="s">
        <v>352</v>
      </c>
      <c r="V15" s="68" t="s">
        <v>353</v>
      </c>
      <c r="W15" s="68" t="s">
        <v>354</v>
      </c>
      <c r="X15" s="68" t="s">
        <v>355</v>
      </c>
      <c r="AC15" t="s">
        <v>364</v>
      </c>
      <c r="AD15" s="75">
        <f ca="1">[1]!SRANK(D6:D26,E6:E26)</f>
        <v>71.5</v>
      </c>
    </row>
    <row r="16" spans="3:31" x14ac:dyDescent="0.3">
      <c r="C16" s="2" t="s">
        <v>295</v>
      </c>
      <c r="D16" s="37" cm="1">
        <f t="array" aca="1" ref="D16" ca="1">INDIRECT("'" &amp; C16 &amp; "'!$L$115")</f>
        <v>6.75</v>
      </c>
      <c r="E16" s="37" cm="1">
        <f t="array" aca="1" ref="E16" ca="1">INDIRECT("'" &amp; C16 &amp; "'!$M$115")</f>
        <v>6.75</v>
      </c>
      <c r="G16" t="s">
        <v>308</v>
      </c>
      <c r="H16">
        <f ca="1">SKEW(D6:D26)</f>
        <v>8.1469722736298267E-2</v>
      </c>
      <c r="J16" s="85" t="s">
        <v>337</v>
      </c>
      <c r="K16" s="85">
        <f ca="1">[1]!DAGOSTINO(D6:D26)</f>
        <v>0.75754307592745362</v>
      </c>
      <c r="M16" t="s">
        <v>308</v>
      </c>
      <c r="N16">
        <f ca="1">SKEW(E6:E26)</f>
        <v>-1.5415499629753175</v>
      </c>
      <c r="P16" s="85" t="s">
        <v>337</v>
      </c>
      <c r="Q16" s="85">
        <f ca="1">[1]!DAGOSTINO(E6:E26)</f>
        <v>12.191065186423485</v>
      </c>
      <c r="S16" t="s">
        <v>356</v>
      </c>
      <c r="T16">
        <f ca="1">_xlfn.T.DIST.RT(ABS(X12),Y12)</f>
        <v>0.29166381735359126</v>
      </c>
      <c r="U16">
        <f ca="1">_xlfn.T.INV.2T(W8*2,Y12)</f>
        <v>1.7247182429207868</v>
      </c>
      <c r="X16" s="70" t="str">
        <f ca="1">IF(T16&lt;W8,"yes","no")</f>
        <v>no</v>
      </c>
    </row>
    <row r="17" spans="3:31" x14ac:dyDescent="0.3">
      <c r="C17" s="2" t="s">
        <v>296</v>
      </c>
      <c r="D17" s="37" cm="1">
        <f t="array" aca="1" ref="D17" ca="1">INDIRECT("'" &amp; C17 &amp; "'!$L$115")</f>
        <v>5</v>
      </c>
      <c r="E17" s="37" cm="1">
        <f t="array" aca="1" ref="E17" ca="1">INDIRECT("'" &amp; C17 &amp; "'!$M$115")</f>
        <v>4.75</v>
      </c>
      <c r="G17" t="s">
        <v>309</v>
      </c>
      <c r="H17">
        <f ca="1">H18-H19</f>
        <v>2</v>
      </c>
      <c r="J17" t="s">
        <v>333</v>
      </c>
      <c r="K17">
        <f ca="1">[1]!DPTEST(D6:D26)</f>
        <v>0.68470202321712592</v>
      </c>
      <c r="M17" t="s">
        <v>309</v>
      </c>
      <c r="N17">
        <f ca="1">N18-N19</f>
        <v>4.25</v>
      </c>
      <c r="P17" t="s">
        <v>333</v>
      </c>
      <c r="Q17">
        <f ca="1">[1]!DPTEST(E6:E26)</f>
        <v>2.2529099365937721E-3</v>
      </c>
      <c r="S17" t="s">
        <v>357</v>
      </c>
      <c r="T17">
        <f ca="1">_xlfn.T.DIST.2T(ABS(X12),Y12)</f>
        <v>0.58332763470718252</v>
      </c>
      <c r="U17">
        <f ca="1">_xlfn.T.INV.2T(W8,Y12)</f>
        <v>2.0859634472658648</v>
      </c>
      <c r="V17">
        <f ca="1">(U10-U11)-W12*U17</f>
        <v>-0.39159852025327835</v>
      </c>
      <c r="W17">
        <f ca="1">(U10-U11)+W12*U17</f>
        <v>0.67731280596756482</v>
      </c>
      <c r="X17" s="70" t="str">
        <f ca="1">IF(T17&lt;W8,"yes","no")</f>
        <v>no</v>
      </c>
      <c r="AD17" s="70" t="s">
        <v>365</v>
      </c>
      <c r="AE17" s="70" t="s">
        <v>366</v>
      </c>
    </row>
    <row r="18" spans="3:31" x14ac:dyDescent="0.3">
      <c r="C18" s="2" t="s">
        <v>297</v>
      </c>
      <c r="D18" s="37" cm="1">
        <f t="array" aca="1" ref="D18" ca="1">INDIRECT("'" &amp; C18 &amp; "'!$L$115")</f>
        <v>6</v>
      </c>
      <c r="E18" s="37" cm="1">
        <f t="array" aca="1" ref="E18" ca="1">INDIRECT("'" &amp; C18 &amp; "'!$M$115")</f>
        <v>5</v>
      </c>
      <c r="G18" s="65" t="s">
        <v>310</v>
      </c>
      <c r="H18" s="65">
        <f ca="1">MAX(D6:D26)</f>
        <v>7</v>
      </c>
      <c r="J18" t="s">
        <v>334</v>
      </c>
      <c r="K18">
        <v>0.05</v>
      </c>
      <c r="M18" t="s">
        <v>310</v>
      </c>
      <c r="N18" s="65">
        <f ca="1">MAX(E6:E26)</f>
        <v>6.75</v>
      </c>
      <c r="P18" t="s">
        <v>334</v>
      </c>
      <c r="Q18">
        <v>0.05</v>
      </c>
      <c r="S18" s="85"/>
      <c r="T18" s="85"/>
      <c r="U18" s="85"/>
      <c r="V18" s="85"/>
      <c r="W18" s="85"/>
      <c r="X18" s="85"/>
      <c r="AC18" t="s">
        <v>367</v>
      </c>
      <c r="AD18" s="88">
        <f ca="1">AD12*(AD12+1)/4</f>
        <v>76.5</v>
      </c>
    </row>
    <row r="19" spans="3:31" x14ac:dyDescent="0.3">
      <c r="C19" s="2" t="s">
        <v>298</v>
      </c>
      <c r="D19" s="37" cm="1">
        <f t="array" aca="1" ref="D19" ca="1">INDIRECT("'" &amp; C19 &amp; "'!$L$115")</f>
        <v>6.5</v>
      </c>
      <c r="E19" s="37" cm="1">
        <f t="array" aca="1" ref="E19" ca="1">INDIRECT("'" &amp; C19 &amp; "'!$M$115")</f>
        <v>6.75</v>
      </c>
      <c r="G19" s="65" t="s">
        <v>311</v>
      </c>
      <c r="H19" s="65">
        <f ca="1">MIN(D6:D26)</f>
        <v>5</v>
      </c>
      <c r="J19" s="66" t="s">
        <v>335</v>
      </c>
      <c r="K19" s="66" t="str">
        <f ca="1">IF(K17&lt;K18,"no","yes")</f>
        <v>yes</v>
      </c>
      <c r="M19" t="s">
        <v>311</v>
      </c>
      <c r="N19" s="65">
        <f ca="1">MIN(E6:E26)</f>
        <v>2.5</v>
      </c>
      <c r="P19" s="63" t="s">
        <v>335</v>
      </c>
      <c r="Q19" s="66" t="str">
        <f ca="1">IF(Q17&lt;Q18,"no","yes")</f>
        <v>no</v>
      </c>
      <c r="AC19" t="s">
        <v>368</v>
      </c>
      <c r="AD19" s="74">
        <f ca="1">SQRT(AD18*(2*AD12+1)/6-[1]!TiesCorrection(D6:D26,E6:E26,1)/48)</f>
        <v>20.985113771433312</v>
      </c>
      <c r="AE19" t="s">
        <v>369</v>
      </c>
    </row>
    <row r="20" spans="3:31" x14ac:dyDescent="0.3">
      <c r="C20" s="2" t="s">
        <v>299</v>
      </c>
      <c r="D20" s="37" cm="1">
        <f t="array" aca="1" ref="D20" ca="1">INDIRECT("'" &amp; C20 &amp; "'!$L$115")</f>
        <v>6.25</v>
      </c>
      <c r="E20" s="37" cm="1">
        <f t="array" aca="1" ref="E20" ca="1">INDIRECT("'" &amp; C20 &amp; "'!$M$115")</f>
        <v>6.25</v>
      </c>
      <c r="G20" s="65" t="s">
        <v>312</v>
      </c>
      <c r="H20" s="65">
        <f ca="1">SUM(D6:D26)</f>
        <v>123.75</v>
      </c>
      <c r="M20" t="s">
        <v>312</v>
      </c>
      <c r="N20" s="65">
        <f ca="1">SUM(E6:E26)</f>
        <v>120.75</v>
      </c>
      <c r="AC20" t="s">
        <v>370</v>
      </c>
      <c r="AD20" s="74">
        <f ca="1">ABS(ABS(AD15-AD18)-1/2)/AD19</f>
        <v>0.21443772233085415</v>
      </c>
      <c r="AE20" t="s">
        <v>371</v>
      </c>
    </row>
    <row r="21" spans="3:31" x14ac:dyDescent="0.3">
      <c r="C21" s="2" t="s">
        <v>395</v>
      </c>
      <c r="D21" s="37" cm="1">
        <f t="array" aca="1" ref="D21" ca="1">INDIRECT("'" &amp; C21 &amp; "'!$L$115")</f>
        <v>5.5</v>
      </c>
      <c r="E21" s="37" cm="1">
        <f t="array" aca="1" ref="E21" ca="1">INDIRECT("'" &amp; C21 &amp; "'!$M$115")</f>
        <v>6.25</v>
      </c>
      <c r="G21" t="s">
        <v>313</v>
      </c>
      <c r="H21">
        <f ca="1">COUNT(D6:D26)</f>
        <v>21</v>
      </c>
      <c r="M21" t="s">
        <v>313</v>
      </c>
      <c r="N21">
        <f ca="1">COUNT(E6:E26)</f>
        <v>21</v>
      </c>
      <c r="AC21" t="s">
        <v>372</v>
      </c>
      <c r="AD21" s="74">
        <f ca="1">AD20/SQRT(AD12)</f>
        <v>5.2008787016881323E-2</v>
      </c>
    </row>
    <row r="22" spans="3:31" x14ac:dyDescent="0.3">
      <c r="C22" s="2" t="s">
        <v>396</v>
      </c>
      <c r="D22" s="37" cm="1">
        <f t="array" aca="1" ref="D22" ca="1">INDIRECT("'" &amp; C22 &amp; "'!$L$115")</f>
        <v>6</v>
      </c>
      <c r="E22" s="37" cm="1">
        <f t="array" aca="1" ref="E22" ca="1">INDIRECT("'" &amp; C22 &amp; "'!$M$115")</f>
        <v>6.75</v>
      </c>
      <c r="G22" t="s">
        <v>314</v>
      </c>
      <c r="H22">
        <f ca="1">GEOMEAN(D6:D26)</f>
        <v>5.866749971999357</v>
      </c>
      <c r="M22" t="s">
        <v>314</v>
      </c>
      <c r="N22">
        <f ca="1">GEOMEAN(E6:E26)</f>
        <v>5.6221324934665313</v>
      </c>
      <c r="AC22" t="s">
        <v>373</v>
      </c>
      <c r="AD22" s="88">
        <f ca="1">1-_xlfn.NORM.S.DIST(AD20,TRUE)</f>
        <v>0.41510286379659356</v>
      </c>
      <c r="AE22" s="104">
        <f ca="1">2*AD22</f>
        <v>0.83020572759318711</v>
      </c>
    </row>
    <row r="23" spans="3:31" x14ac:dyDescent="0.3">
      <c r="C23" s="2" t="s">
        <v>397</v>
      </c>
      <c r="D23" s="37" cm="1">
        <f t="array" aca="1" ref="D23" ca="1">INDIRECT("'" &amp; C23 &amp; "'!$L$115")</f>
        <v>5.25</v>
      </c>
      <c r="E23" s="37" cm="1">
        <f t="array" aca="1" ref="E23" ca="1">INDIRECT("'" &amp; C23 &amp; "'!$M$115")</f>
        <v>4</v>
      </c>
      <c r="G23" t="s">
        <v>315</v>
      </c>
      <c r="H23">
        <f ca="1">HARMEAN(D6:D26)</f>
        <v>5.8406314226218514</v>
      </c>
      <c r="M23" t="s">
        <v>315</v>
      </c>
      <c r="N23">
        <f ca="1">HARMEAN(E6:E26)</f>
        <v>5.4499230300932302</v>
      </c>
      <c r="AC23" t="s">
        <v>374</v>
      </c>
      <c r="AD23" s="74">
        <f ca="1">[1]!SRDIST(AD15,AD12,1)</f>
        <v>0.40879058837890625</v>
      </c>
      <c r="AE23" s="77">
        <f ca="1">2*AD23</f>
        <v>0.8175811767578125</v>
      </c>
    </row>
    <row r="24" spans="3:31" x14ac:dyDescent="0.3">
      <c r="C24" s="2" t="s">
        <v>398</v>
      </c>
      <c r="D24" s="37" cm="1">
        <f t="array" aca="1" ref="D24" ca="1">INDIRECT("'" &amp; C24 &amp; "'!$L$115")</f>
        <v>5.75</v>
      </c>
      <c r="E24" s="37" cm="1">
        <f t="array" aca="1" ref="E24" ca="1">INDIRECT("'" &amp; C24 &amp; "'!$M$115")</f>
        <v>6.5</v>
      </c>
      <c r="G24" t="s">
        <v>316</v>
      </c>
      <c r="H24">
        <f ca="1">AVEDEV(D6:D26)</f>
        <v>0.46938775510204067</v>
      </c>
      <c r="M24" t="s">
        <v>316</v>
      </c>
      <c r="N24">
        <f ca="1">AVEDEV(E6:E26)</f>
        <v>0.8571428571428571</v>
      </c>
      <c r="AC24" t="s">
        <v>375</v>
      </c>
      <c r="AD24" s="75" t="s">
        <v>376</v>
      </c>
      <c r="AE24" s="78" t="s">
        <v>376</v>
      </c>
    </row>
    <row r="25" spans="3:31" x14ac:dyDescent="0.3">
      <c r="C25" s="2" t="s">
        <v>399</v>
      </c>
      <c r="D25" s="37" cm="1">
        <f t="array" aca="1" ref="D25" ca="1">INDIRECT("'" &amp; C25 &amp; "'!$L$115")</f>
        <v>6.25</v>
      </c>
      <c r="E25" s="37" cm="1">
        <f t="array" aca="1" ref="E25" ca="1">INDIRECT("'" &amp; C25 &amp; "'!$M$115")</f>
        <v>2.5</v>
      </c>
      <c r="G25" t="s">
        <v>317</v>
      </c>
      <c r="H25">
        <f ca="1">[1]!MAD(D6:D26)</f>
        <v>0.5</v>
      </c>
      <c r="M25" t="s">
        <v>317</v>
      </c>
      <c r="N25">
        <f ca="1">[1]!MAD(E6:E26)</f>
        <v>0.5</v>
      </c>
    </row>
    <row r="26" spans="3:31" x14ac:dyDescent="0.3">
      <c r="C26" s="2" t="s">
        <v>400</v>
      </c>
      <c r="D26" s="37" cm="1">
        <f t="array" aca="1" ref="D26" ca="1">INDIRECT("'" &amp; C26 &amp; "'!$L$115")</f>
        <v>5.75</v>
      </c>
      <c r="E26" s="37" cm="1">
        <f t="array" aca="1" ref="E26" ca="1">INDIRECT("'" &amp; C26 &amp; "'!$M$115")</f>
        <v>6.5</v>
      </c>
      <c r="G26" s="63" t="s">
        <v>318</v>
      </c>
      <c r="H26" s="63">
        <f ca="1">[1]!IQR(D6:D26,FALSE)</f>
        <v>0.75</v>
      </c>
      <c r="M26" s="63" t="s">
        <v>318</v>
      </c>
      <c r="N26" s="63">
        <f ca="1">[1]!IQR(E6:E26,FALSE)</f>
        <v>1.25</v>
      </c>
    </row>
    <row r="30" spans="3:31" x14ac:dyDescent="0.3">
      <c r="C30" s="2"/>
      <c r="D30" s="84" t="s">
        <v>424</v>
      </c>
      <c r="E30" s="83"/>
      <c r="G30" s="107"/>
      <c r="J30" s="107"/>
    </row>
    <row r="31" spans="3:31" x14ac:dyDescent="0.3">
      <c r="C31" s="2"/>
      <c r="D31" s="2"/>
      <c r="E31" s="2"/>
      <c r="F31" s="2"/>
      <c r="G31" s="37"/>
      <c r="I31" s="2"/>
      <c r="J31" s="37"/>
    </row>
    <row r="32" spans="3:31" x14ac:dyDescent="0.3">
      <c r="C32" s="2" t="s">
        <v>285</v>
      </c>
      <c r="D32" s="37" cm="1">
        <f t="array" aca="1" ref="D32" ca="1">INDIRECT("'" &amp; C32 &amp; "'!$e$115")</f>
        <v>3</v>
      </c>
      <c r="E32" s="37" cm="1">
        <f t="array" aca="1" ref="E32" ca="1">INDIRECT("'" &amp; C32 &amp; "'!$f$115")</f>
        <v>3</v>
      </c>
      <c r="F32" s="2"/>
      <c r="G32" t="s">
        <v>300</v>
      </c>
      <c r="J32" t="s">
        <v>331</v>
      </c>
      <c r="M32" t="s">
        <v>300</v>
      </c>
      <c r="P32" t="s">
        <v>331</v>
      </c>
      <c r="S32" t="s">
        <v>338</v>
      </c>
      <c r="AC32" t="s">
        <v>358</v>
      </c>
    </row>
    <row r="33" spans="3:31" x14ac:dyDescent="0.3">
      <c r="C33" s="2" t="s">
        <v>286</v>
      </c>
      <c r="D33" s="37" cm="1">
        <f t="array" aca="1" ref="D33" ca="1">INDIRECT("'" &amp; C33 &amp; "'!$e$115")</f>
        <v>2</v>
      </c>
      <c r="E33" s="37" cm="1">
        <f t="array" aca="1" ref="E33" ca="1">INDIRECT("'" &amp; C33 &amp; "'!$f$115")</f>
        <v>2</v>
      </c>
      <c r="F33" s="2"/>
    </row>
    <row r="34" spans="3:31" ht="15" thickBot="1" x14ac:dyDescent="0.35">
      <c r="C34" s="2" t="s">
        <v>287</v>
      </c>
      <c r="D34" s="37" cm="1">
        <f t="array" aca="1" ref="D34" ca="1">INDIRECT("'" &amp; C34 &amp; "'!$e$115")</f>
        <v>2</v>
      </c>
      <c r="E34" s="37" cm="1">
        <f t="array" aca="1" ref="E34" ca="1">INDIRECT("'" &amp; C34 &amp; "'!$f$115")</f>
        <v>1</v>
      </c>
      <c r="F34" s="2"/>
      <c r="G34" s="64"/>
      <c r="H34" s="64" t="s">
        <v>379</v>
      </c>
      <c r="I34" s="79"/>
      <c r="J34" s="64"/>
      <c r="K34" s="64" t="s">
        <v>379</v>
      </c>
      <c r="M34" s="64"/>
      <c r="N34" s="64" t="s">
        <v>379</v>
      </c>
      <c r="P34" s="64"/>
      <c r="Q34" s="64" t="s">
        <v>379</v>
      </c>
      <c r="S34" t="s">
        <v>339</v>
      </c>
      <c r="V34" t="s">
        <v>340</v>
      </c>
      <c r="W34">
        <v>0.05</v>
      </c>
      <c r="Y34" t="s">
        <v>341</v>
      </c>
      <c r="Z34">
        <v>0</v>
      </c>
      <c r="AD34" t="s">
        <v>381</v>
      </c>
      <c r="AE34" t="s">
        <v>382</v>
      </c>
    </row>
    <row r="35" spans="3:31" ht="15" thickTop="1" x14ac:dyDescent="0.3">
      <c r="C35" s="2" t="s">
        <v>288</v>
      </c>
      <c r="D35" s="37" cm="1">
        <f t="array" aca="1" ref="D35" ca="1">INDIRECT("'" &amp; C35 &amp; "'!$e$115")</f>
        <v>5</v>
      </c>
      <c r="E35" s="37" cm="1">
        <f t="array" aca="1" ref="E35" ca="1">INDIRECT("'" &amp; C35 &amp; "'!$f$115")</f>
        <v>3</v>
      </c>
      <c r="F35" s="2"/>
      <c r="G35" s="65" t="s">
        <v>301</v>
      </c>
      <c r="H35" s="65">
        <f ca="1">AVERAGE(D32:D52)</f>
        <v>2.0952380952380953</v>
      </c>
      <c r="J35" t="s">
        <v>332</v>
      </c>
      <c r="K35">
        <f ca="1">[1]!SHAPIRO(D32:D52)</f>
        <v>0.80126922230491437</v>
      </c>
      <c r="M35" t="s">
        <v>301</v>
      </c>
      <c r="N35" s="65">
        <f ca="1">AVERAGE(E32:E52)</f>
        <v>2.4285714285714284</v>
      </c>
      <c r="P35" t="s">
        <v>332</v>
      </c>
      <c r="Q35">
        <f ca="1">[1]!SHAPIRO(E32:E52)</f>
        <v>0.79397895331240653</v>
      </c>
      <c r="S35" s="68" t="s">
        <v>342</v>
      </c>
      <c r="T35" s="68" t="s">
        <v>313</v>
      </c>
      <c r="U35" s="68" t="s">
        <v>301</v>
      </c>
      <c r="V35" s="68" t="s">
        <v>343</v>
      </c>
      <c r="W35" s="68" t="s">
        <v>344</v>
      </c>
      <c r="X35" s="68" t="s">
        <v>345</v>
      </c>
      <c r="Y35" s="68" t="s">
        <v>346</v>
      </c>
      <c r="Z35" s="68" t="s">
        <v>347</v>
      </c>
      <c r="AA35" s="68" t="s">
        <v>348</v>
      </c>
      <c r="AC35" t="s">
        <v>359</v>
      </c>
      <c r="AD35" s="102">
        <f ca="1">MEDIAN(D32:D52)</f>
        <v>2</v>
      </c>
      <c r="AE35" s="103">
        <f ca="1">MEDIAN(E32:E52)</f>
        <v>2</v>
      </c>
    </row>
    <row r="36" spans="3:31" x14ac:dyDescent="0.3">
      <c r="C36" s="2" t="s">
        <v>289</v>
      </c>
      <c r="D36" s="37" cm="1">
        <f t="array" aca="1" ref="D36" ca="1">INDIRECT("'" &amp; C36 &amp; "'!$e$115")</f>
        <v>1</v>
      </c>
      <c r="E36" s="37" cm="1">
        <f t="array" aca="1" ref="E36" ca="1">INDIRECT("'" &amp; C36 &amp; "'!$f$115")</f>
        <v>1</v>
      </c>
      <c r="F36" s="2"/>
      <c r="G36" t="s">
        <v>302</v>
      </c>
      <c r="H36">
        <f ca="1">_xlfn.STDEV.S(D32:D52)/SQRT(COUNT(D32:D52))</f>
        <v>0.27520349098666458</v>
      </c>
      <c r="J36" t="s">
        <v>333</v>
      </c>
      <c r="K36">
        <f ca="1">[1]!SWTEST(D32:D52)</f>
        <v>6.860764594843749E-4</v>
      </c>
      <c r="M36" t="s">
        <v>302</v>
      </c>
      <c r="N36">
        <f ca="1">_xlfn.STDEV.S(E32:E52)/SQRT(COUNT(E32:E52))</f>
        <v>0.39982989580349199</v>
      </c>
      <c r="P36" t="s">
        <v>333</v>
      </c>
      <c r="Q36">
        <f ca="1">[1]!SWTEST(E32:E52)</f>
        <v>5.3153424136143101E-4</v>
      </c>
      <c r="S36" t="s">
        <v>379</v>
      </c>
      <c r="T36">
        <f ca="1">COUNT(D32:D52)</f>
        <v>21</v>
      </c>
      <c r="U36" s="65">
        <f ca="1">AVERAGE(D32:D52)</f>
        <v>2.0952380952380953</v>
      </c>
      <c r="V36">
        <f ca="1">_xlfn.STDEV.S(D32:D52)</f>
        <v>1.2611408289624877</v>
      </c>
    </row>
    <row r="37" spans="3:31" x14ac:dyDescent="0.3">
      <c r="C37" s="2" t="s">
        <v>290</v>
      </c>
      <c r="D37" s="37" cm="1">
        <f t="array" aca="1" ref="D37" ca="1">INDIRECT("'" &amp; C37 &amp; "'!$e$115")</f>
        <v>3</v>
      </c>
      <c r="E37" s="37" cm="1">
        <f t="array" aca="1" ref="E37" ca="1">INDIRECT("'" &amp; C37 &amp; "'!$f$115")</f>
        <v>2</v>
      </c>
      <c r="F37" s="2"/>
      <c r="G37" s="65" t="s">
        <v>303</v>
      </c>
      <c r="H37" s="65">
        <f ca="1">MEDIAN(D32:D52)</f>
        <v>2</v>
      </c>
      <c r="J37" t="s">
        <v>334</v>
      </c>
      <c r="K37">
        <v>0.05</v>
      </c>
      <c r="M37" t="s">
        <v>303</v>
      </c>
      <c r="N37" s="65">
        <f ca="1">MEDIAN(E32:E52)</f>
        <v>2</v>
      </c>
      <c r="P37" t="s">
        <v>334</v>
      </c>
      <c r="Q37">
        <v>0.05</v>
      </c>
      <c r="S37" t="s">
        <v>380</v>
      </c>
      <c r="T37">
        <f ca="1">COUNT(E32:E52)</f>
        <v>21</v>
      </c>
      <c r="U37" s="65">
        <f ca="1">AVERAGE(E32:E52)</f>
        <v>2.4285714285714284</v>
      </c>
      <c r="V37">
        <f ca="1">_xlfn.STDEV.S(E32:E52)</f>
        <v>1.8322507626258084</v>
      </c>
      <c r="AC37" t="s">
        <v>360</v>
      </c>
      <c r="AD37" s="88">
        <f ca="1">SUMPRODUCT(--ISNUMBER(D32:D52),--ISNUMBER(E32:E52))</f>
        <v>21</v>
      </c>
    </row>
    <row r="38" spans="3:31" x14ac:dyDescent="0.3">
      <c r="C38" s="2" t="s">
        <v>291</v>
      </c>
      <c r="D38" s="37" cm="1">
        <f t="array" aca="1" ref="D38" ca="1">INDIRECT("'" &amp; C38 &amp; "'!$e$115")</f>
        <v>1</v>
      </c>
      <c r="E38" s="37" cm="1">
        <f t="array" aca="1" ref="E38" ca="1">INDIRECT("'" &amp; C38 &amp; "'!$f$115")</f>
        <v>5</v>
      </c>
      <c r="F38" s="2"/>
      <c r="G38" t="s">
        <v>304</v>
      </c>
      <c r="H38">
        <f ca="1">MODE(D32:D52)</f>
        <v>1</v>
      </c>
      <c r="J38" s="66" t="s">
        <v>335</v>
      </c>
      <c r="K38" s="66" t="str">
        <f ca="1">IF(K36&lt;K37,"no","yes")</f>
        <v>no</v>
      </c>
      <c r="M38" t="s">
        <v>304</v>
      </c>
      <c r="N38">
        <f ca="1">MODE(E32:E52)</f>
        <v>1</v>
      </c>
      <c r="P38" s="63" t="s">
        <v>335</v>
      </c>
      <c r="Q38" s="66" t="str">
        <f ca="1">IF(Q36&lt;Q37,"no","yes")</f>
        <v>no</v>
      </c>
      <c r="S38" s="85" t="s">
        <v>349</v>
      </c>
      <c r="T38" s="85">
        <f ca="1">T37</f>
        <v>21</v>
      </c>
      <c r="U38" s="100">
        <f ca="1">U36-U37</f>
        <v>-0.33333333333333304</v>
      </c>
      <c r="V38" s="85">
        <f t="array" aca="1" ref="V38" ca="1">_xlfn.STDEV.S(D32:D52-E32:E52)</f>
        <v>1.6832508230603462</v>
      </c>
      <c r="W38" s="85">
        <f ca="1">V38/SQRT(T38)</f>
        <v>0.36731544334622646</v>
      </c>
      <c r="X38" s="85">
        <f ca="1">(U36-U37-Z34)/W38</f>
        <v>-0.90748521297302942</v>
      </c>
      <c r="Y38" s="85">
        <f ca="1">T38-1</f>
        <v>20</v>
      </c>
      <c r="Z38" s="85">
        <f ca="1">ABS(U36-U37-Z34)/V38</f>
        <v>0.19802950859533469</v>
      </c>
      <c r="AA38" s="85">
        <f ca="1">SQRT(X38^2/(X38^2+Y38))</f>
        <v>0.1988668464044975</v>
      </c>
      <c r="AC38" t="s">
        <v>361</v>
      </c>
      <c r="AD38" s="74">
        <f ca="1">SUMPRODUCT(--ISNUMBER(D32:D52),--ISNUMBER(E32:E52),--(D32:D52&lt;&gt;E32:E52))</f>
        <v>12</v>
      </c>
    </row>
    <row r="39" spans="3:31" x14ac:dyDescent="0.3">
      <c r="C39" s="2" t="s">
        <v>292</v>
      </c>
      <c r="D39" s="37" cm="1">
        <f t="array" aca="1" ref="D39" ca="1">INDIRECT("'" &amp; C39 &amp; "'!$e$115")</f>
        <v>3</v>
      </c>
      <c r="E39" s="37" cm="1">
        <f t="array" aca="1" ref="E39" ca="1">INDIRECT("'" &amp; C39 &amp; "'!$f$115")</f>
        <v>1</v>
      </c>
      <c r="F39" s="2"/>
      <c r="G39" t="s">
        <v>305</v>
      </c>
      <c r="H39">
        <f ca="1">_xlfn.STDEV.S(D32:D52)</f>
        <v>1.2611408289624877</v>
      </c>
      <c r="M39" t="s">
        <v>305</v>
      </c>
      <c r="N39">
        <f ca="1">_xlfn.STDEV.S(E32:E52)</f>
        <v>1.8322507626258084</v>
      </c>
      <c r="AC39" t="s">
        <v>362</v>
      </c>
      <c r="AD39" s="74">
        <f ca="1">IF(AD41&lt;=AD44,AD41,AD38*(AD38+1)/2)</f>
        <v>30</v>
      </c>
    </row>
    <row r="40" spans="3:31" ht="15" thickBot="1" x14ac:dyDescent="0.35">
      <c r="C40" s="2" t="s">
        <v>293</v>
      </c>
      <c r="D40" s="37" cm="1">
        <f t="array" aca="1" ref="D40" ca="1">INDIRECT("'" &amp; C40 &amp; "'!$e$115")</f>
        <v>1</v>
      </c>
      <c r="E40" s="37" cm="1">
        <f t="array" aca="1" ref="E40" ca="1">INDIRECT("'" &amp; C40 &amp; "'!$f$115")</f>
        <v>1</v>
      </c>
      <c r="F40" s="2"/>
      <c r="G40" t="s">
        <v>306</v>
      </c>
      <c r="H40">
        <f ca="1">_xlfn.VAR.S(D32:D52)</f>
        <v>1.5904761904761906</v>
      </c>
      <c r="J40" t="s">
        <v>336</v>
      </c>
      <c r="M40" t="s">
        <v>306</v>
      </c>
      <c r="N40">
        <f ca="1">_xlfn.VAR.S(E32:E52)</f>
        <v>3.3571428571428568</v>
      </c>
      <c r="P40" t="s">
        <v>336</v>
      </c>
      <c r="S40" t="s">
        <v>350</v>
      </c>
      <c r="AC40" t="s">
        <v>363</v>
      </c>
      <c r="AD40" s="74">
        <f ca="1">AD38*(AD38+1)/2-AD39</f>
        <v>48</v>
      </c>
    </row>
    <row r="41" spans="3:31" ht="15" thickTop="1" x14ac:dyDescent="0.3">
      <c r="C41" s="2" t="s">
        <v>294</v>
      </c>
      <c r="D41" s="37" cm="1">
        <f t="array" aca="1" ref="D41" ca="1">INDIRECT("'" &amp; C41 &amp; "'!$e$115")</f>
        <v>1</v>
      </c>
      <c r="E41" s="37" cm="1">
        <f t="array" aca="1" ref="E41" ca="1">INDIRECT("'" &amp; C41 &amp; "'!$f$115")</f>
        <v>3</v>
      </c>
      <c r="F41" s="2"/>
      <c r="G41" t="s">
        <v>307</v>
      </c>
      <c r="H41">
        <f ca="1">KURT(D32:D52)</f>
        <v>0.72841395683263022</v>
      </c>
      <c r="M41" t="s">
        <v>307</v>
      </c>
      <c r="N41">
        <f ca="1">KURT(E32:E52)</f>
        <v>0.67079650234685984</v>
      </c>
      <c r="S41" s="68" t="s">
        <v>351</v>
      </c>
      <c r="T41" s="68" t="s">
        <v>333</v>
      </c>
      <c r="U41" s="68" t="s">
        <v>352</v>
      </c>
      <c r="V41" s="68" t="s">
        <v>353</v>
      </c>
      <c r="W41" s="68" t="s">
        <v>354</v>
      </c>
      <c r="X41" s="68" t="s">
        <v>355</v>
      </c>
      <c r="AC41" t="s">
        <v>364</v>
      </c>
      <c r="AD41" s="75">
        <f ca="1">[1]!SRANK(D32:D52,E32:E52)</f>
        <v>30</v>
      </c>
    </row>
    <row r="42" spans="3:31" x14ac:dyDescent="0.3">
      <c r="C42" s="2" t="s">
        <v>295</v>
      </c>
      <c r="D42" s="37" cm="1">
        <f t="array" aca="1" ref="D42" ca="1">INDIRECT("'" &amp; C42 &amp; "'!$e$115")</f>
        <v>1</v>
      </c>
      <c r="E42" s="37" cm="1">
        <f t="array" aca="1" ref="E42" ca="1">INDIRECT("'" &amp; C42 &amp; "'!$f$115")</f>
        <v>1</v>
      </c>
      <c r="F42" s="2"/>
      <c r="G42" t="s">
        <v>308</v>
      </c>
      <c r="H42">
        <f ca="1">SKEW(D32:D52)</f>
        <v>1.126674372417392</v>
      </c>
      <c r="J42" s="85" t="s">
        <v>337</v>
      </c>
      <c r="K42" s="85">
        <f ca="1">[1]!DAGOSTINO(D32:D52)</f>
        <v>5.5942690636887242</v>
      </c>
      <c r="M42" t="s">
        <v>308</v>
      </c>
      <c r="N42">
        <f ca="1">SKEW(E32:E52)</f>
        <v>1.2310231542048717</v>
      </c>
      <c r="P42" s="85" t="s">
        <v>337</v>
      </c>
      <c r="Q42" s="85">
        <f ca="1">[1]!DAGOSTINO(E32:E52)</f>
        <v>6.2660347611046054</v>
      </c>
      <c r="S42" t="s">
        <v>356</v>
      </c>
      <c r="T42">
        <f ca="1">_xlfn.T.DIST.RT(ABS(X38),Y38)</f>
        <v>0.18747765909081393</v>
      </c>
      <c r="U42">
        <f ca="1">_xlfn.T.INV.2T(W34*2,Y38)</f>
        <v>1.7247182429207868</v>
      </c>
      <c r="X42" s="70" t="str">
        <f ca="1">IF(T42&lt;W34,"yes","no")</f>
        <v>no</v>
      </c>
    </row>
    <row r="43" spans="3:31" x14ac:dyDescent="0.3">
      <c r="C43" s="2" t="s">
        <v>296</v>
      </c>
      <c r="D43" s="37" cm="1">
        <f t="array" aca="1" ref="D43" ca="1">INDIRECT("'" &amp; C43 &amp; "'!$e$115")</f>
        <v>3</v>
      </c>
      <c r="E43" s="37" cm="1">
        <f t="array" aca="1" ref="E43" ca="1">INDIRECT("'" &amp; C43 &amp; "'!$f$115")</f>
        <v>4</v>
      </c>
      <c r="F43" s="2"/>
      <c r="G43" t="s">
        <v>309</v>
      </c>
      <c r="H43">
        <f ca="1">H44-H45</f>
        <v>4</v>
      </c>
      <c r="J43" t="s">
        <v>333</v>
      </c>
      <c r="K43">
        <f ca="1">[1]!DPTEST(D32:D52)</f>
        <v>6.0984561814748539E-2</v>
      </c>
      <c r="M43" t="s">
        <v>309</v>
      </c>
      <c r="N43">
        <f ca="1">N44-N45</f>
        <v>6</v>
      </c>
      <c r="P43" t="s">
        <v>333</v>
      </c>
      <c r="Q43">
        <f ca="1">[1]!DPTEST(E32:E52)</f>
        <v>4.3586082837721918E-2</v>
      </c>
      <c r="S43" t="s">
        <v>357</v>
      </c>
      <c r="T43">
        <f ca="1">_xlfn.T.DIST.2T(ABS(X38),Y38)</f>
        <v>0.37495531818162786</v>
      </c>
      <c r="U43">
        <f ca="1">_xlfn.T.INV.2T(W34,Y38)</f>
        <v>2.0859634472658648</v>
      </c>
      <c r="V43">
        <f ca="1">(U36-U37)-W38*U43</f>
        <v>-1.099539921769817</v>
      </c>
      <c r="W43">
        <f ca="1">(U36-U37)+W38*U43</f>
        <v>0.432873255103151</v>
      </c>
      <c r="X43" s="70" t="str">
        <f ca="1">IF(T43&lt;W34,"yes","no")</f>
        <v>no</v>
      </c>
      <c r="AD43" s="70" t="s">
        <v>365</v>
      </c>
      <c r="AE43" s="70" t="s">
        <v>366</v>
      </c>
    </row>
    <row r="44" spans="3:31" x14ac:dyDescent="0.3">
      <c r="C44" s="2" t="s">
        <v>297</v>
      </c>
      <c r="D44" s="37" cm="1">
        <f t="array" aca="1" ref="D44" ca="1">INDIRECT("'" &amp; C44 &amp; "'!$e$115")</f>
        <v>1</v>
      </c>
      <c r="E44" s="37" cm="1">
        <f t="array" aca="1" ref="E44" ca="1">INDIRECT("'" &amp; C44 &amp; "'!$f$115")</f>
        <v>4</v>
      </c>
      <c r="F44" s="2"/>
      <c r="G44" s="65" t="s">
        <v>310</v>
      </c>
      <c r="H44" s="65">
        <f ca="1">MAX(D32:D52)</f>
        <v>5</v>
      </c>
      <c r="J44" t="s">
        <v>334</v>
      </c>
      <c r="K44">
        <v>0.05</v>
      </c>
      <c r="M44" t="s">
        <v>310</v>
      </c>
      <c r="N44" s="65">
        <f ca="1">MAX(E32:E52)</f>
        <v>7</v>
      </c>
      <c r="P44" t="s">
        <v>334</v>
      </c>
      <c r="Q44">
        <v>0.05</v>
      </c>
      <c r="S44" s="85"/>
      <c r="T44" s="85"/>
      <c r="U44" s="85"/>
      <c r="V44" s="85"/>
      <c r="W44" s="85"/>
      <c r="X44" s="85"/>
      <c r="AC44" t="s">
        <v>367</v>
      </c>
      <c r="AD44" s="88">
        <f ca="1">AD38*(AD38+1)/4</f>
        <v>39</v>
      </c>
    </row>
    <row r="45" spans="3:31" x14ac:dyDescent="0.3">
      <c r="C45" s="2" t="s">
        <v>298</v>
      </c>
      <c r="D45" s="37" cm="1">
        <f t="array" aca="1" ref="D45" ca="1">INDIRECT("'" &amp; C45 &amp; "'!$e$115")</f>
        <v>2</v>
      </c>
      <c r="E45" s="37" cm="1">
        <f t="array" aca="1" ref="E45" ca="1">INDIRECT("'" &amp; C45 &amp; "'!$f$115")</f>
        <v>1</v>
      </c>
      <c r="F45" s="2"/>
      <c r="G45" s="65" t="s">
        <v>311</v>
      </c>
      <c r="H45" s="65">
        <f ca="1">MIN(D32:D52)</f>
        <v>1</v>
      </c>
      <c r="J45" s="66" t="s">
        <v>335</v>
      </c>
      <c r="K45" s="66" t="str">
        <f ca="1">IF(K43&lt;K44,"no","yes")</f>
        <v>yes</v>
      </c>
      <c r="M45" t="s">
        <v>311</v>
      </c>
      <c r="N45" s="65">
        <f ca="1">MIN(E32:E52)</f>
        <v>1</v>
      </c>
      <c r="P45" s="63" t="s">
        <v>335</v>
      </c>
      <c r="Q45" s="66" t="str">
        <f ca="1">IF(Q43&lt;Q44,"no","yes")</f>
        <v>no</v>
      </c>
      <c r="AC45" t="s">
        <v>368</v>
      </c>
      <c r="AD45" s="74">
        <f ca="1">SQRT(AD44*(2*AD38+1)/6-[1]!TiesCorrection(D32:D52,E32:E52,1)/48)</f>
        <v>12.549900398011133</v>
      </c>
      <c r="AE45" t="s">
        <v>369</v>
      </c>
    </row>
    <row r="46" spans="3:31" x14ac:dyDescent="0.3">
      <c r="C46" s="2" t="s">
        <v>299</v>
      </c>
      <c r="D46" s="37" cm="1">
        <f t="array" aca="1" ref="D46" ca="1">INDIRECT("'" &amp; C46 &amp; "'!$e$115")</f>
        <v>1</v>
      </c>
      <c r="E46" s="37" cm="1">
        <f t="array" aca="1" ref="E46" ca="1">INDIRECT("'" &amp; C46 &amp; "'!$f$115")</f>
        <v>1</v>
      </c>
      <c r="F46" s="2"/>
      <c r="G46" s="65" t="s">
        <v>312</v>
      </c>
      <c r="H46" s="65">
        <f ca="1">SUM(D32:D52)</f>
        <v>44</v>
      </c>
      <c r="M46" t="s">
        <v>312</v>
      </c>
      <c r="N46" s="65">
        <f ca="1">SUM(E32:E52)</f>
        <v>51</v>
      </c>
      <c r="AC46" t="s">
        <v>370</v>
      </c>
      <c r="AD46" s="74">
        <f ca="1">ABS(ABS(AD41-AD44)-1/2)/AD45</f>
        <v>0.67729621195615641</v>
      </c>
      <c r="AE46" t="s">
        <v>371</v>
      </c>
    </row>
    <row r="47" spans="3:31" x14ac:dyDescent="0.3">
      <c r="C47" s="2" t="s">
        <v>395</v>
      </c>
      <c r="D47" s="37" cm="1">
        <f t="array" aca="1" ref="D47" ca="1">INDIRECT("'" &amp; C47 &amp; "'!$e$115")</f>
        <v>2</v>
      </c>
      <c r="E47" s="37" cm="1">
        <f t="array" aca="1" ref="E47" ca="1">INDIRECT("'" &amp; C47 &amp; "'!$f$115")</f>
        <v>1</v>
      </c>
      <c r="F47" s="2"/>
      <c r="G47" t="s">
        <v>313</v>
      </c>
      <c r="H47">
        <f ca="1">COUNT(D32:D52)</f>
        <v>21</v>
      </c>
      <c r="M47" t="s">
        <v>313</v>
      </c>
      <c r="N47">
        <f ca="1">COUNT(E32:E52)</f>
        <v>21</v>
      </c>
      <c r="AC47" t="s">
        <v>372</v>
      </c>
      <c r="AD47" s="74">
        <f ca="1">AD46/SQRT(AD38)</f>
        <v>0.19551857514700038</v>
      </c>
    </row>
    <row r="48" spans="3:31" x14ac:dyDescent="0.3">
      <c r="C48" s="2" t="s">
        <v>396</v>
      </c>
      <c r="D48" s="37" cm="1">
        <f t="array" aca="1" ref="D48" ca="1">INDIRECT("'" &amp; C48 &amp; "'!$e$115")</f>
        <v>1</v>
      </c>
      <c r="E48" s="37" cm="1">
        <f t="array" aca="1" ref="E48" ca="1">INDIRECT("'" &amp; C48 &amp; "'!$f$115")</f>
        <v>1</v>
      </c>
      <c r="F48" s="2"/>
      <c r="G48" t="s">
        <v>314</v>
      </c>
      <c r="H48">
        <f ca="1">GEOMEAN(D32:D52)</f>
        <v>1.7858405461893767</v>
      </c>
      <c r="M48" t="s">
        <v>314</v>
      </c>
      <c r="N48">
        <f ca="1">GEOMEAN(E32:E52)</f>
        <v>1.9014520687268288</v>
      </c>
      <c r="AC48" t="s">
        <v>373</v>
      </c>
      <c r="AD48" s="88">
        <f ca="1">1-_xlfn.NORM.S.DIST(AD46,TRUE)</f>
        <v>0.24910901692087428</v>
      </c>
      <c r="AE48" s="104">
        <f ca="1">2*AD48</f>
        <v>0.49821803384174856</v>
      </c>
    </row>
    <row r="49" spans="3:31" x14ac:dyDescent="0.3">
      <c r="C49" s="2" t="s">
        <v>397</v>
      </c>
      <c r="D49" s="37" cm="1">
        <f t="array" aca="1" ref="D49" ca="1">INDIRECT("'" &amp; C49 &amp; "'!$e$115")</f>
        <v>5</v>
      </c>
      <c r="E49" s="37" cm="1">
        <f t="array" aca="1" ref="E49" ca="1">INDIRECT("'" &amp; C49 &amp; "'!$f$115")</f>
        <v>6</v>
      </c>
      <c r="F49" s="2"/>
      <c r="G49" t="s">
        <v>315</v>
      </c>
      <c r="H49">
        <f ca="1">HARMEAN(D32:D52)</f>
        <v>1.5479115479115477</v>
      </c>
      <c r="M49" t="s">
        <v>315</v>
      </c>
      <c r="N49">
        <f ca="1">HARMEAN(E32:E52)</f>
        <v>1.5544589354952416</v>
      </c>
      <c r="AC49" t="s">
        <v>374</v>
      </c>
      <c r="AD49" s="74">
        <f ca="1">[1]!SRDIST(AD41,AD38,1)</f>
        <v>0.25927734375</v>
      </c>
      <c r="AE49" s="77">
        <f ca="1">2*AD49</f>
        <v>0.5185546875</v>
      </c>
    </row>
    <row r="50" spans="3:31" x14ac:dyDescent="0.3">
      <c r="C50" s="2" t="s">
        <v>398</v>
      </c>
      <c r="D50" s="37" cm="1">
        <f t="array" aca="1" ref="D50" ca="1">INDIRECT("'" &amp; C50 &amp; "'!$e$115")</f>
        <v>1</v>
      </c>
      <c r="E50" s="37" cm="1">
        <f t="array" aca="1" ref="E50" ca="1">INDIRECT("'" &amp; C50 &amp; "'!$f$115")</f>
        <v>1</v>
      </c>
      <c r="F50" s="2"/>
      <c r="G50" t="s">
        <v>316</v>
      </c>
      <c r="H50">
        <f ca="1">AVEDEV(D32:D52)</f>
        <v>0.98412698412698396</v>
      </c>
      <c r="M50" t="s">
        <v>316</v>
      </c>
      <c r="N50">
        <f ca="1">AVEDEV(E32:E52)</f>
        <v>1.4829931972789112</v>
      </c>
      <c r="AC50" t="s">
        <v>375</v>
      </c>
      <c r="AD50" s="75" t="s">
        <v>376</v>
      </c>
      <c r="AE50" s="78" t="s">
        <v>376</v>
      </c>
    </row>
    <row r="51" spans="3:31" x14ac:dyDescent="0.3">
      <c r="C51" s="2" t="s">
        <v>399</v>
      </c>
      <c r="D51" s="37" cm="1">
        <f t="array" aca="1" ref="D51" ca="1">INDIRECT("'" &amp; C51 &amp; "'!$e$115")</f>
        <v>3</v>
      </c>
      <c r="E51" s="37" cm="1">
        <f t="array" aca="1" ref="E51" ca="1">INDIRECT("'" &amp; C51 &amp; "'!$f$115")</f>
        <v>7</v>
      </c>
      <c r="F51" s="2"/>
      <c r="G51" t="s">
        <v>317</v>
      </c>
      <c r="H51">
        <f ca="1">[1]!MAD(D32:D52)</f>
        <v>1</v>
      </c>
      <c r="M51" t="s">
        <v>317</v>
      </c>
      <c r="N51">
        <f ca="1">[1]!MAD(E32:E52)</f>
        <v>1</v>
      </c>
    </row>
    <row r="52" spans="3:31" x14ac:dyDescent="0.3">
      <c r="C52" s="2" t="s">
        <v>400</v>
      </c>
      <c r="D52" s="37" cm="1">
        <f t="array" aca="1" ref="D52" ca="1">INDIRECT("'" &amp; C52 &amp; "'!$e$115")</f>
        <v>2</v>
      </c>
      <c r="E52" s="37" cm="1">
        <f t="array" aca="1" ref="E52" ca="1">INDIRECT("'" &amp; C52 &amp; "'!$f$115")</f>
        <v>2</v>
      </c>
      <c r="G52" s="63" t="s">
        <v>318</v>
      </c>
      <c r="H52" s="63">
        <f ca="1">[1]!IQR(D32:D52,FALSE)</f>
        <v>2</v>
      </c>
      <c r="M52" s="63" t="s">
        <v>318</v>
      </c>
      <c r="N52" s="63">
        <f ca="1">[1]!IQR(E32:E52,FALSE)</f>
        <v>2</v>
      </c>
    </row>
    <row r="56" spans="3:31" x14ac:dyDescent="0.3">
      <c r="C56" s="79"/>
      <c r="D56" s="79"/>
      <c r="F56" s="79"/>
      <c r="G56" s="79"/>
    </row>
    <row r="57" spans="3:31" x14ac:dyDescent="0.3">
      <c r="C57" s="2"/>
      <c r="D57" s="84" t="s">
        <v>425</v>
      </c>
      <c r="E57" s="83"/>
      <c r="G57" s="107"/>
      <c r="J57" s="107"/>
    </row>
    <row r="58" spans="3:31" x14ac:dyDescent="0.3">
      <c r="C58" s="2"/>
      <c r="D58" s="2"/>
      <c r="E58" s="2"/>
      <c r="F58" s="2"/>
      <c r="G58" s="37"/>
      <c r="I58" s="2"/>
      <c r="J58" s="37"/>
    </row>
    <row r="59" spans="3:31" x14ac:dyDescent="0.3">
      <c r="C59" s="2" t="s">
        <v>285</v>
      </c>
      <c r="D59" s="37" cm="1">
        <f t="array" aca="1" ref="D59" ca="1">INDIRECT("'" &amp; C59 &amp; "'!$e$116")</f>
        <v>6</v>
      </c>
      <c r="E59" s="37" cm="1">
        <f t="array" aca="1" ref="E59" ca="1">INDIRECT("'" &amp; C59 &amp; "'!$f$116")</f>
        <v>4</v>
      </c>
      <c r="F59" s="2"/>
      <c r="G59" t="s">
        <v>300</v>
      </c>
      <c r="J59" t="s">
        <v>331</v>
      </c>
      <c r="M59" t="s">
        <v>300</v>
      </c>
      <c r="P59" t="s">
        <v>331</v>
      </c>
      <c r="S59" t="s">
        <v>338</v>
      </c>
      <c r="AC59" t="s">
        <v>358</v>
      </c>
    </row>
    <row r="60" spans="3:31" x14ac:dyDescent="0.3">
      <c r="C60" s="2" t="s">
        <v>286</v>
      </c>
      <c r="D60" s="37" cm="1">
        <f t="array" aca="1" ref="D60" ca="1">INDIRECT("'" &amp; C60 &amp; "'!$e$116")</f>
        <v>5</v>
      </c>
      <c r="E60" s="37" cm="1">
        <f t="array" aca="1" ref="E60" ca="1">INDIRECT("'" &amp; C60 &amp; "'!$f$116")</f>
        <v>2</v>
      </c>
      <c r="F60" s="2"/>
    </row>
    <row r="61" spans="3:31" ht="15" thickBot="1" x14ac:dyDescent="0.35">
      <c r="C61" s="2" t="s">
        <v>287</v>
      </c>
      <c r="D61" s="37" cm="1">
        <f t="array" aca="1" ref="D61" ca="1">INDIRECT("'" &amp; C61 &amp; "'!$e$116")</f>
        <v>5</v>
      </c>
      <c r="E61" s="37" cm="1">
        <f t="array" aca="1" ref="E61" ca="1">INDIRECT("'" &amp; C61 &amp; "'!$f$116")</f>
        <v>6</v>
      </c>
      <c r="F61" s="2"/>
      <c r="G61" s="64"/>
      <c r="H61" s="64" t="s">
        <v>379</v>
      </c>
      <c r="I61" s="79"/>
      <c r="J61" s="64"/>
      <c r="K61" s="64" t="s">
        <v>379</v>
      </c>
      <c r="M61" s="64"/>
      <c r="N61" s="64" t="s">
        <v>379</v>
      </c>
      <c r="P61" s="64"/>
      <c r="Q61" s="64" t="s">
        <v>379</v>
      </c>
      <c r="S61" t="s">
        <v>339</v>
      </c>
      <c r="V61" t="s">
        <v>340</v>
      </c>
      <c r="W61">
        <v>0.05</v>
      </c>
      <c r="Y61" t="s">
        <v>341</v>
      </c>
      <c r="Z61">
        <v>0</v>
      </c>
      <c r="AD61" t="s">
        <v>381</v>
      </c>
      <c r="AE61" t="s">
        <v>382</v>
      </c>
    </row>
    <row r="62" spans="3:31" ht="15" thickTop="1" x14ac:dyDescent="0.3">
      <c r="C62" s="2" t="s">
        <v>288</v>
      </c>
      <c r="D62" s="37" cm="1">
        <f t="array" aca="1" ref="D62" ca="1">INDIRECT("'" &amp; C62 &amp; "'!$e$116")</f>
        <v>5</v>
      </c>
      <c r="E62" s="37" cm="1">
        <f t="array" aca="1" ref="E62" ca="1">INDIRECT("'" &amp; C62 &amp; "'!$f$116")</f>
        <v>5</v>
      </c>
      <c r="F62" s="2"/>
      <c r="G62" s="65" t="s">
        <v>301</v>
      </c>
      <c r="H62" s="65">
        <f ca="1">AVERAGE(D59:D79)</f>
        <v>5.3809523809523814</v>
      </c>
      <c r="J62" t="s">
        <v>332</v>
      </c>
      <c r="K62">
        <f ca="1">[1]!SHAPIRO(D59:D79)</f>
        <v>0.89699750099260467</v>
      </c>
      <c r="M62" t="s">
        <v>301</v>
      </c>
      <c r="N62" s="65">
        <f ca="1">AVERAGE(E59:E79)</f>
        <v>4.7142857142857144</v>
      </c>
      <c r="P62" t="s">
        <v>332</v>
      </c>
      <c r="Q62">
        <f ca="1">[1]!SHAPIRO(E59:E79)</f>
        <v>0.93369838792208915</v>
      </c>
      <c r="S62" s="68" t="s">
        <v>342</v>
      </c>
      <c r="T62" s="68" t="s">
        <v>313</v>
      </c>
      <c r="U62" s="68" t="s">
        <v>301</v>
      </c>
      <c r="V62" s="68" t="s">
        <v>343</v>
      </c>
      <c r="W62" s="68" t="s">
        <v>344</v>
      </c>
      <c r="X62" s="68" t="s">
        <v>345</v>
      </c>
      <c r="Y62" s="68" t="s">
        <v>346</v>
      </c>
      <c r="Z62" s="68" t="s">
        <v>347</v>
      </c>
      <c r="AA62" s="68" t="s">
        <v>348</v>
      </c>
      <c r="AC62" t="s">
        <v>359</v>
      </c>
      <c r="AD62" s="102">
        <f ca="1">MEDIAN(D59:D79)</f>
        <v>6</v>
      </c>
      <c r="AE62" s="103">
        <f ca="1">MEDIAN(E59:E79)</f>
        <v>5</v>
      </c>
    </row>
    <row r="63" spans="3:31" x14ac:dyDescent="0.3">
      <c r="C63" s="2" t="s">
        <v>289</v>
      </c>
      <c r="D63" s="37" cm="1">
        <f t="array" aca="1" ref="D63" ca="1">INDIRECT("'" &amp; C63 &amp; "'!$e$116")</f>
        <v>4</v>
      </c>
      <c r="E63" s="37" cm="1">
        <f t="array" aca="1" ref="E63" ca="1">INDIRECT("'" &amp; C63 &amp; "'!$f$116")</f>
        <v>4</v>
      </c>
      <c r="F63" s="2"/>
      <c r="G63" t="s">
        <v>302</v>
      </c>
      <c r="H63">
        <f ca="1">_xlfn.STDEV.S(D59:D79)/SQRT(COUNT(D59:D79))</f>
        <v>0.22335313142016336</v>
      </c>
      <c r="J63" t="s">
        <v>333</v>
      </c>
      <c r="K63">
        <f ca="1">[1]!SWTEST(D59:D79)</f>
        <v>3.061634395025481E-2</v>
      </c>
      <c r="M63" t="s">
        <v>302</v>
      </c>
      <c r="N63">
        <f ca="1">_xlfn.STDEV.S(E59:E79)/SQRT(COUNT(E59:E79))</f>
        <v>0.33906634512224565</v>
      </c>
      <c r="P63" t="s">
        <v>333</v>
      </c>
      <c r="Q63">
        <f ca="1">[1]!SWTEST(E59:E79)</f>
        <v>0.16324979064527878</v>
      </c>
      <c r="S63" t="s">
        <v>379</v>
      </c>
      <c r="T63">
        <f ca="1">COUNT(D59:D79)</f>
        <v>21</v>
      </c>
      <c r="U63" s="65">
        <f ca="1">AVERAGE(D59:D79)</f>
        <v>5.3809523809523814</v>
      </c>
      <c r="V63">
        <f ca="1">_xlfn.STDEV.S(D59:D79)</f>
        <v>1.0235326314383182</v>
      </c>
    </row>
    <row r="64" spans="3:31" x14ac:dyDescent="0.3">
      <c r="C64" s="2" t="s">
        <v>290</v>
      </c>
      <c r="D64" s="37" cm="1">
        <f t="array" aca="1" ref="D64" ca="1">INDIRECT("'" &amp; C64 &amp; "'!$e$116")</f>
        <v>3</v>
      </c>
      <c r="E64" s="37" cm="1">
        <f t="array" aca="1" ref="E64" ca="1">INDIRECT("'" &amp; C64 &amp; "'!$f$116")</f>
        <v>5</v>
      </c>
      <c r="F64" s="2"/>
      <c r="G64" s="65" t="s">
        <v>303</v>
      </c>
      <c r="H64" s="65">
        <f ca="1">MEDIAN(D59:D79)</f>
        <v>6</v>
      </c>
      <c r="J64" t="s">
        <v>334</v>
      </c>
      <c r="K64">
        <v>0.05</v>
      </c>
      <c r="M64" t="s">
        <v>303</v>
      </c>
      <c r="N64" s="65">
        <f ca="1">MEDIAN(E59:E79)</f>
        <v>5</v>
      </c>
      <c r="P64" t="s">
        <v>334</v>
      </c>
      <c r="Q64">
        <v>0.05</v>
      </c>
      <c r="S64" t="s">
        <v>380</v>
      </c>
      <c r="T64">
        <f ca="1">COUNT(E59:E79)</f>
        <v>21</v>
      </c>
      <c r="U64" s="65">
        <f ca="1">AVERAGE(E59:E79)</f>
        <v>4.7142857142857144</v>
      </c>
      <c r="V64">
        <f ca="1">_xlfn.STDEV.S(E59:E79)</f>
        <v>1.5537971921347116</v>
      </c>
      <c r="AC64" t="s">
        <v>360</v>
      </c>
      <c r="AD64" s="88">
        <f ca="1">SUMPRODUCT(--ISNUMBER(D59:D79),--ISNUMBER(E59:E79))</f>
        <v>21</v>
      </c>
    </row>
    <row r="65" spans="3:31" x14ac:dyDescent="0.3">
      <c r="C65" s="2" t="s">
        <v>291</v>
      </c>
      <c r="D65" s="37" cm="1">
        <f t="array" aca="1" ref="D65" ca="1">INDIRECT("'" &amp; C65 &amp; "'!$e$116")</f>
        <v>6</v>
      </c>
      <c r="E65" s="37" cm="1">
        <f t="array" aca="1" ref="E65" ca="1">INDIRECT("'" &amp; C65 &amp; "'!$f$116")</f>
        <v>5</v>
      </c>
      <c r="F65" s="2"/>
      <c r="G65" t="s">
        <v>304</v>
      </c>
      <c r="H65">
        <f ca="1">MODE(D59:D79)</f>
        <v>6</v>
      </c>
      <c r="J65" s="66" t="s">
        <v>335</v>
      </c>
      <c r="K65" s="66" t="str">
        <f ca="1">IF(K63&lt;K64,"no","yes")</f>
        <v>no</v>
      </c>
      <c r="M65" t="s">
        <v>304</v>
      </c>
      <c r="N65">
        <f ca="1">MODE(E59:E79)</f>
        <v>5</v>
      </c>
      <c r="P65" s="63" t="s">
        <v>335</v>
      </c>
      <c r="Q65" s="66" t="str">
        <f ca="1">IF(Q63&lt;Q64,"no","yes")</f>
        <v>yes</v>
      </c>
      <c r="S65" s="85" t="s">
        <v>349</v>
      </c>
      <c r="T65" s="85">
        <f ca="1">T64</f>
        <v>21</v>
      </c>
      <c r="U65" s="100">
        <f ca="1">U63-U64</f>
        <v>0.66666666666666696</v>
      </c>
      <c r="V65" s="85">
        <f t="array" aca="1" ref="V65" ca="1">_xlfn.STDEV.S(D59:D79-E59:E79)</f>
        <v>1.7701224063135672</v>
      </c>
      <c r="W65" s="85">
        <f ca="1">V65/SQRT(T65)</f>
        <v>0.38627237696520472</v>
      </c>
      <c r="X65" s="85">
        <f ca="1">(U63-U64-Z61)/W65</f>
        <v>1.7258978545253834</v>
      </c>
      <c r="Y65" s="85">
        <f ca="1">T65-1</f>
        <v>20</v>
      </c>
      <c r="Z65" s="85">
        <f ca="1">ABS(U63-U64-Z61)/V65</f>
        <v>0.37662178857735484</v>
      </c>
      <c r="AA65" s="85">
        <f ca="1">SQRT(X65^2/(X65^2+Y65))</f>
        <v>0.3600411499115479</v>
      </c>
      <c r="AC65" t="s">
        <v>361</v>
      </c>
      <c r="AD65" s="74">
        <f ca="1">SUMPRODUCT(--ISNUMBER(D59:D79),--ISNUMBER(E59:E79),--(D59:D79&lt;&gt;E59:E79))</f>
        <v>13</v>
      </c>
    </row>
    <row r="66" spans="3:31" x14ac:dyDescent="0.3">
      <c r="C66" s="2" t="s">
        <v>292</v>
      </c>
      <c r="D66" s="37" cm="1">
        <f t="array" aca="1" ref="D66" ca="1">INDIRECT("'" &amp; C66 &amp; "'!$e$116")</f>
        <v>6</v>
      </c>
      <c r="E66" s="37" cm="1">
        <f t="array" aca="1" ref="E66" ca="1">INDIRECT("'" &amp; C66 &amp; "'!$f$116")</f>
        <v>6</v>
      </c>
      <c r="F66" s="2"/>
      <c r="G66" t="s">
        <v>305</v>
      </c>
      <c r="H66">
        <f ca="1">_xlfn.STDEV.S(D59:D79)</f>
        <v>1.0235326314383182</v>
      </c>
      <c r="M66" t="s">
        <v>305</v>
      </c>
      <c r="N66">
        <f ca="1">_xlfn.STDEV.S(E59:E79)</f>
        <v>1.5537971921347116</v>
      </c>
      <c r="AC66" t="s">
        <v>362</v>
      </c>
      <c r="AD66" s="74">
        <f ca="1">IF(AD68&lt;=AD71,AD68,AD65*(AD65+1)/2)</f>
        <v>22.5</v>
      </c>
    </row>
    <row r="67" spans="3:31" ht="15" thickBot="1" x14ac:dyDescent="0.35">
      <c r="C67" s="2" t="s">
        <v>293</v>
      </c>
      <c r="D67" s="37" cm="1">
        <f t="array" aca="1" ref="D67" ca="1">INDIRECT("'" &amp; C67 &amp; "'!$e$116")</f>
        <v>6</v>
      </c>
      <c r="E67" s="37" cm="1">
        <f t="array" aca="1" ref="E67" ca="1">INDIRECT("'" &amp; C67 &amp; "'!$f$116")</f>
        <v>6</v>
      </c>
      <c r="F67" s="2"/>
      <c r="G67" t="s">
        <v>306</v>
      </c>
      <c r="H67">
        <f ca="1">_xlfn.VAR.S(D59:D79)</f>
        <v>1.0476190476190481</v>
      </c>
      <c r="J67" t="s">
        <v>336</v>
      </c>
      <c r="M67" t="s">
        <v>306</v>
      </c>
      <c r="N67">
        <f ca="1">_xlfn.VAR.S(E59:E79)</f>
        <v>2.4142857142857137</v>
      </c>
      <c r="P67" t="s">
        <v>336</v>
      </c>
      <c r="S67" t="s">
        <v>350</v>
      </c>
      <c r="AC67" t="s">
        <v>363</v>
      </c>
      <c r="AD67" s="74">
        <f ca="1">AD65*(AD65+1)/2-AD66</f>
        <v>68.5</v>
      </c>
    </row>
    <row r="68" spans="3:31" ht="15" thickTop="1" x14ac:dyDescent="0.3">
      <c r="C68" s="2" t="s">
        <v>294</v>
      </c>
      <c r="D68" s="37" cm="1">
        <f t="array" aca="1" ref="D68" ca="1">INDIRECT("'" &amp; C68 &amp; "'!$e$116")</f>
        <v>7</v>
      </c>
      <c r="E68" s="37" cm="1">
        <f t="array" aca="1" ref="E68" ca="1">INDIRECT("'" &amp; C68 &amp; "'!$f$116")</f>
        <v>3</v>
      </c>
      <c r="F68" s="2"/>
      <c r="G68" t="s">
        <v>307</v>
      </c>
      <c r="H68">
        <f ca="1">KURT(D59:D79)</f>
        <v>7.5358851674647731E-2</v>
      </c>
      <c r="M68" t="s">
        <v>307</v>
      </c>
      <c r="N68">
        <f ca="1">KURT(E59:E79)</f>
        <v>0.3293228344135084</v>
      </c>
      <c r="S68" s="68" t="s">
        <v>351</v>
      </c>
      <c r="T68" s="68" t="s">
        <v>333</v>
      </c>
      <c r="U68" s="68" t="s">
        <v>352</v>
      </c>
      <c r="V68" s="68" t="s">
        <v>353</v>
      </c>
      <c r="W68" s="68" t="s">
        <v>354</v>
      </c>
      <c r="X68" s="68" t="s">
        <v>355</v>
      </c>
      <c r="AC68" t="s">
        <v>364</v>
      </c>
      <c r="AD68" s="75">
        <f ca="1">[1]!SRANK(D59:D79,E59:E79)</f>
        <v>22.5</v>
      </c>
    </row>
    <row r="69" spans="3:31" x14ac:dyDescent="0.3">
      <c r="C69" s="2" t="s">
        <v>295</v>
      </c>
      <c r="D69" s="37" cm="1">
        <f t="array" aca="1" ref="D69" ca="1">INDIRECT("'" &amp; C69 &amp; "'!$e$116")</f>
        <v>7</v>
      </c>
      <c r="E69" s="37" cm="1">
        <f t="array" aca="1" ref="E69" ca="1">INDIRECT("'" &amp; C69 &amp; "'!$f$116")</f>
        <v>7</v>
      </c>
      <c r="F69" s="2"/>
      <c r="G69" t="s">
        <v>308</v>
      </c>
      <c r="H69">
        <f ca="1">SKEW(D59:D79)</f>
        <v>-0.57241474230362532</v>
      </c>
      <c r="J69" s="85" t="s">
        <v>337</v>
      </c>
      <c r="K69" s="85">
        <f ca="1">[1]!DAGOSTINO(D59:D79)</f>
        <v>1.4949451876884641</v>
      </c>
      <c r="M69" t="s">
        <v>308</v>
      </c>
      <c r="N69">
        <f ca="1">SKEW(E59:E79)</f>
        <v>-0.70892521233524808</v>
      </c>
      <c r="P69" s="85" t="s">
        <v>337</v>
      </c>
      <c r="Q69" s="85">
        <f ca="1">[1]!DAGOSTINO(E59:E79)</f>
        <v>2.4116456643092725</v>
      </c>
      <c r="S69" t="s">
        <v>356</v>
      </c>
      <c r="T69">
        <f ca="1">_xlfn.T.DIST.RT(ABS(X65),Y65)</f>
        <v>4.9891727112255785E-2</v>
      </c>
      <c r="U69">
        <f ca="1">_xlfn.T.INV.2T(W61*2,Y65)</f>
        <v>1.7247182429207868</v>
      </c>
      <c r="X69" s="70" t="str">
        <f ca="1">IF(T69&lt;W61,"yes","no")</f>
        <v>yes</v>
      </c>
    </row>
    <row r="70" spans="3:31" x14ac:dyDescent="0.3">
      <c r="C70" s="2" t="s">
        <v>296</v>
      </c>
      <c r="D70" s="37" cm="1">
        <f t="array" aca="1" ref="D70" ca="1">INDIRECT("'" &amp; C70 &amp; "'!$e$116")</f>
        <v>4</v>
      </c>
      <c r="E70" s="37" cm="1">
        <f t="array" aca="1" ref="E70" ca="1">INDIRECT("'" &amp; C70 &amp; "'!$f$116")</f>
        <v>5</v>
      </c>
      <c r="F70" s="2"/>
      <c r="G70" t="s">
        <v>309</v>
      </c>
      <c r="H70">
        <f ca="1">H71-H72</f>
        <v>4</v>
      </c>
      <c r="J70" t="s">
        <v>333</v>
      </c>
      <c r="K70">
        <f ca="1">[1]!DPTEST(D59:D79)</f>
        <v>0.47356192483326875</v>
      </c>
      <c r="M70" t="s">
        <v>309</v>
      </c>
      <c r="N70">
        <f ca="1">N71-N72</f>
        <v>6</v>
      </c>
      <c r="P70" t="s">
        <v>333</v>
      </c>
      <c r="Q70">
        <f ca="1">[1]!DPTEST(E59:E79)</f>
        <v>0.29944550472538578</v>
      </c>
      <c r="S70" t="s">
        <v>357</v>
      </c>
      <c r="T70">
        <f ca="1">_xlfn.T.DIST.2T(ABS(X65),Y65)</f>
        <v>9.978345422451157E-2</v>
      </c>
      <c r="U70">
        <f ca="1">_xlfn.T.INV.2T(W61,Y65)</f>
        <v>2.0859634472658648</v>
      </c>
      <c r="V70">
        <f ca="1">(U63-U64)-W65*U70</f>
        <v>-0.13908339237125111</v>
      </c>
      <c r="W70">
        <f ca="1">(U63-U64)+W65*U70</f>
        <v>1.472416725704585</v>
      </c>
      <c r="X70" s="70" t="str">
        <f ca="1">IF(T70&lt;W61,"yes","no")</f>
        <v>no</v>
      </c>
      <c r="AD70" s="70" t="s">
        <v>365</v>
      </c>
      <c r="AE70" s="70" t="s">
        <v>366</v>
      </c>
    </row>
    <row r="71" spans="3:31" x14ac:dyDescent="0.3">
      <c r="C71" s="2" t="s">
        <v>297</v>
      </c>
      <c r="D71" s="37" cm="1">
        <f t="array" aca="1" ref="D71" ca="1">INDIRECT("'" &amp; C71 &amp; "'!$e$116")</f>
        <v>5</v>
      </c>
      <c r="E71" s="37" cm="1">
        <f t="array" aca="1" ref="E71" ca="1">INDIRECT("'" &amp; C71 &amp; "'!$f$116")</f>
        <v>5</v>
      </c>
      <c r="F71" s="2"/>
      <c r="G71" s="65" t="s">
        <v>310</v>
      </c>
      <c r="H71" s="65">
        <f ca="1">MAX(D59:D79)</f>
        <v>7</v>
      </c>
      <c r="J71" t="s">
        <v>334</v>
      </c>
      <c r="K71">
        <v>0.05</v>
      </c>
      <c r="M71" t="s">
        <v>310</v>
      </c>
      <c r="N71" s="65">
        <f ca="1">MAX(E59:E79)</f>
        <v>7</v>
      </c>
      <c r="P71" t="s">
        <v>334</v>
      </c>
      <c r="Q71">
        <v>0.05</v>
      </c>
      <c r="S71" s="85"/>
      <c r="T71" s="85"/>
      <c r="U71" s="85"/>
      <c r="V71" s="85"/>
      <c r="W71" s="85"/>
      <c r="X71" s="85"/>
      <c r="AC71" t="s">
        <v>367</v>
      </c>
      <c r="AD71" s="88">
        <f ca="1">AD65*(AD65+1)/4</f>
        <v>45.5</v>
      </c>
    </row>
    <row r="72" spans="3:31" x14ac:dyDescent="0.3">
      <c r="C72" s="2" t="s">
        <v>298</v>
      </c>
      <c r="D72" s="37" cm="1">
        <f t="array" aca="1" ref="D72" ca="1">INDIRECT("'" &amp; C72 &amp; "'!$e$116")</f>
        <v>6</v>
      </c>
      <c r="E72" s="37" cm="1">
        <f t="array" aca="1" ref="E72" ca="1">INDIRECT("'" &amp; C72 &amp; "'!$f$116")</f>
        <v>6</v>
      </c>
      <c r="F72" s="2"/>
      <c r="G72" s="65" t="s">
        <v>311</v>
      </c>
      <c r="H72" s="65">
        <f ca="1">MIN(D59:D79)</f>
        <v>3</v>
      </c>
      <c r="J72" s="66" t="s">
        <v>335</v>
      </c>
      <c r="K72" s="66" t="str">
        <f ca="1">IF(K70&lt;K71,"no","yes")</f>
        <v>yes</v>
      </c>
      <c r="M72" t="s">
        <v>311</v>
      </c>
      <c r="N72" s="65">
        <f ca="1">MIN(E59:E79)</f>
        <v>1</v>
      </c>
      <c r="P72" s="63" t="s">
        <v>335</v>
      </c>
      <c r="Q72" s="66" t="str">
        <f ca="1">IF(Q70&lt;Q71,"no","yes")</f>
        <v>yes</v>
      </c>
      <c r="AC72" t="s">
        <v>368</v>
      </c>
      <c r="AD72" s="74">
        <f ca="1">SQRT(AD71*(2*AD65+1)/6-[1]!TiesCorrection(D59:D79,E59:E79,1)/48)</f>
        <v>14.111165791670084</v>
      </c>
      <c r="AE72" t="s">
        <v>369</v>
      </c>
    </row>
    <row r="73" spans="3:31" x14ac:dyDescent="0.3">
      <c r="C73" s="2" t="s">
        <v>299</v>
      </c>
      <c r="D73" s="37" cm="1">
        <f t="array" aca="1" ref="D73" ca="1">INDIRECT("'" &amp; C73 &amp; "'!$e$116")</f>
        <v>6</v>
      </c>
      <c r="E73" s="37" cm="1">
        <f t="array" aca="1" ref="E73" ca="1">INDIRECT("'" &amp; C73 &amp; "'!$f$116")</f>
        <v>4</v>
      </c>
      <c r="F73" s="2"/>
      <c r="G73" s="65" t="s">
        <v>312</v>
      </c>
      <c r="H73" s="65">
        <f ca="1">SUM(D59:D79)</f>
        <v>113</v>
      </c>
      <c r="M73" t="s">
        <v>312</v>
      </c>
      <c r="N73" s="65">
        <f ca="1">SUM(E59:E79)</f>
        <v>99</v>
      </c>
      <c r="AC73" t="s">
        <v>370</v>
      </c>
      <c r="AD73" s="74">
        <f ca="1">ABS(ABS(AD68-AD71)-1/2)/AD72</f>
        <v>1.5944820103582016</v>
      </c>
      <c r="AE73" t="s">
        <v>371</v>
      </c>
    </row>
    <row r="74" spans="3:31" x14ac:dyDescent="0.3">
      <c r="C74" s="2" t="s">
        <v>395</v>
      </c>
      <c r="D74" s="37" cm="1">
        <f t="array" aca="1" ref="D74" ca="1">INDIRECT("'" &amp; C74 &amp; "'!$e$116")</f>
        <v>5</v>
      </c>
      <c r="E74" s="37" cm="1">
        <f t="array" aca="1" ref="E74" ca="1">INDIRECT("'" &amp; C74 &amp; "'!$f$116")</f>
        <v>4</v>
      </c>
      <c r="F74" s="2"/>
      <c r="G74" t="s">
        <v>313</v>
      </c>
      <c r="H74">
        <f ca="1">COUNT(D59:D79)</f>
        <v>21</v>
      </c>
      <c r="M74" t="s">
        <v>313</v>
      </c>
      <c r="N74">
        <f ca="1">COUNT(E59:E79)</f>
        <v>21</v>
      </c>
      <c r="AC74" t="s">
        <v>372</v>
      </c>
      <c r="AD74" s="74">
        <f ca="1">AD73/SQRT(AD65)</f>
        <v>0.44222974201164611</v>
      </c>
    </row>
    <row r="75" spans="3:31" x14ac:dyDescent="0.3">
      <c r="C75" s="2" t="s">
        <v>396</v>
      </c>
      <c r="D75" s="37" cm="1">
        <f t="array" aca="1" ref="D75" ca="1">INDIRECT("'" &amp; C75 &amp; "'!$e$116")</f>
        <v>6</v>
      </c>
      <c r="E75" s="37" cm="1">
        <f t="array" aca="1" ref="E75" ca="1">INDIRECT("'" &amp; C75 &amp; "'!$f$116")</f>
        <v>6</v>
      </c>
      <c r="F75" s="2"/>
      <c r="G75" t="s">
        <v>314</v>
      </c>
      <c r="H75">
        <f ca="1">GEOMEAN(D59:D79)</f>
        <v>5.2773180179110595</v>
      </c>
      <c r="M75" t="s">
        <v>314</v>
      </c>
      <c r="N75">
        <f ca="1">GEOMEAN(E59:E79)</f>
        <v>4.3643374736543823</v>
      </c>
      <c r="AC75" t="s">
        <v>373</v>
      </c>
      <c r="AD75" s="88">
        <f ca="1">1-_xlfn.NORM.S.DIST(AD73,TRUE)</f>
        <v>5.5414058431395574E-2</v>
      </c>
      <c r="AE75" s="104">
        <f ca="1">2*AD75</f>
        <v>0.11082811686279115</v>
      </c>
    </row>
    <row r="76" spans="3:31" x14ac:dyDescent="0.3">
      <c r="C76" s="2" t="s">
        <v>397</v>
      </c>
      <c r="D76" s="37" cm="1">
        <f t="array" aca="1" ref="D76" ca="1">INDIRECT("'" &amp; C76 &amp; "'!$e$116")</f>
        <v>5</v>
      </c>
      <c r="E76" s="37" cm="1">
        <f t="array" aca="1" ref="E76" ca="1">INDIRECT("'" &amp; C76 &amp; "'!$f$116")</f>
        <v>3</v>
      </c>
      <c r="F76" s="2"/>
      <c r="G76" t="s">
        <v>315</v>
      </c>
      <c r="H76">
        <f ca="1">HARMEAN(D59:D79)</f>
        <v>5.1609128145114109</v>
      </c>
      <c r="M76" t="s">
        <v>315</v>
      </c>
      <c r="N76">
        <f ca="1">HARMEAN(E59:E79)</f>
        <v>3.8281249999999996</v>
      </c>
      <c r="AC76" t="s">
        <v>374</v>
      </c>
      <c r="AD76" s="74">
        <f ca="1">[1]!SRDIST(AD68,AD65,1)</f>
        <v>5.4931640625E-2</v>
      </c>
      <c r="AE76" s="77">
        <f ca="1">2*AD76</f>
        <v>0.10986328125</v>
      </c>
    </row>
    <row r="77" spans="3:31" x14ac:dyDescent="0.3">
      <c r="C77" s="2" t="s">
        <v>398</v>
      </c>
      <c r="D77" s="37" cm="1">
        <f t="array" aca="1" ref="D77" ca="1">INDIRECT("'" &amp; C77 &amp; "'!$e$116")</f>
        <v>4</v>
      </c>
      <c r="E77" s="37" cm="1">
        <f t="array" aca="1" ref="E77" ca="1">INDIRECT("'" &amp; C77 &amp; "'!$f$116")</f>
        <v>5</v>
      </c>
      <c r="F77" s="2"/>
      <c r="G77" t="s">
        <v>316</v>
      </c>
      <c r="H77">
        <f ca="1">AVEDEV(D59:D79)</f>
        <v>0.83900226757369623</v>
      </c>
      <c r="M77" t="s">
        <v>316</v>
      </c>
      <c r="N77">
        <f ca="1">AVEDEV(E59:E79)</f>
        <v>1.2108843537414966</v>
      </c>
      <c r="AC77" t="s">
        <v>375</v>
      </c>
      <c r="AD77" s="75" t="s">
        <v>376</v>
      </c>
      <c r="AE77" s="78" t="s">
        <v>376</v>
      </c>
    </row>
    <row r="78" spans="3:31" x14ac:dyDescent="0.3">
      <c r="C78" s="2" t="s">
        <v>399</v>
      </c>
      <c r="D78" s="37" cm="1">
        <f t="array" aca="1" ref="D78" ca="1">INDIRECT("'" &amp; C78 &amp; "'!$e$116")</f>
        <v>6</v>
      </c>
      <c r="E78" s="37" cm="1">
        <f t="array" aca="1" ref="E78" ca="1">INDIRECT("'" &amp; C78 &amp; "'!$f$116")</f>
        <v>1</v>
      </c>
      <c r="F78" s="2"/>
      <c r="G78" t="s">
        <v>317</v>
      </c>
      <c r="H78">
        <f ca="1">[1]!MAD(D59:D79)</f>
        <v>1</v>
      </c>
      <c r="M78" t="s">
        <v>317</v>
      </c>
      <c r="N78">
        <f ca="1">[1]!MAD(E59:E79)</f>
        <v>1</v>
      </c>
    </row>
    <row r="79" spans="3:31" x14ac:dyDescent="0.3">
      <c r="C79" s="2" t="s">
        <v>400</v>
      </c>
      <c r="D79" s="37" cm="1">
        <f t="array" aca="1" ref="D79" ca="1">INDIRECT("'" &amp; C79 &amp; "'!$e$116")</f>
        <v>6</v>
      </c>
      <c r="E79" s="37" cm="1">
        <f t="array" aca="1" ref="E79" ca="1">INDIRECT("'" &amp; C79 &amp; "'!$f$116")</f>
        <v>7</v>
      </c>
      <c r="G79" s="63" t="s">
        <v>318</v>
      </c>
      <c r="H79" s="63">
        <f ca="1">[1]!IQR(D59:D79,FALSE)</f>
        <v>1</v>
      </c>
      <c r="M79" s="63" t="s">
        <v>318</v>
      </c>
      <c r="N79" s="63">
        <f ca="1">[1]!IQR(E59:E79,FALSE)</f>
        <v>2</v>
      </c>
    </row>
    <row r="83" spans="3:31" x14ac:dyDescent="0.3">
      <c r="C83" s="2"/>
      <c r="D83" s="84" t="s">
        <v>426</v>
      </c>
      <c r="E83" s="83"/>
      <c r="G83" s="107"/>
      <c r="J83" s="107"/>
    </row>
    <row r="84" spans="3:31" x14ac:dyDescent="0.3">
      <c r="C84" s="2"/>
      <c r="D84" s="2"/>
      <c r="E84" s="2"/>
      <c r="F84" s="2"/>
      <c r="G84" s="37"/>
      <c r="I84" s="2"/>
      <c r="J84" s="37"/>
    </row>
    <row r="85" spans="3:31" x14ac:dyDescent="0.3">
      <c r="C85" s="2" t="s">
        <v>285</v>
      </c>
      <c r="D85" s="37" cm="1">
        <f t="array" aca="1" ref="D85" ca="1">INDIRECT("'" &amp; C85 &amp; "'!$e$117")</f>
        <v>4</v>
      </c>
      <c r="E85" s="37" cm="1">
        <f t="array" aca="1" ref="E85" ca="1">INDIRECT("'" &amp; C85 &amp; "'!$f$117")</f>
        <v>4</v>
      </c>
      <c r="F85" s="2"/>
      <c r="G85" t="s">
        <v>300</v>
      </c>
      <c r="J85" t="s">
        <v>331</v>
      </c>
      <c r="M85" t="s">
        <v>300</v>
      </c>
      <c r="P85" t="s">
        <v>331</v>
      </c>
      <c r="S85" t="s">
        <v>338</v>
      </c>
      <c r="AC85" t="s">
        <v>358</v>
      </c>
    </row>
    <row r="86" spans="3:31" x14ac:dyDescent="0.3">
      <c r="C86" s="2" t="s">
        <v>286</v>
      </c>
      <c r="D86" s="37" cm="1">
        <f t="array" aca="1" ref="D86" ca="1">INDIRECT("'" &amp; C86 &amp; "'!$e$117")</f>
        <v>1</v>
      </c>
      <c r="E86" s="37" cm="1">
        <f t="array" aca="1" ref="E86" ca="1">INDIRECT("'" &amp; C86 &amp; "'!$f$117")</f>
        <v>1</v>
      </c>
      <c r="F86" s="2"/>
    </row>
    <row r="87" spans="3:31" ht="15" thickBot="1" x14ac:dyDescent="0.35">
      <c r="C87" s="2" t="s">
        <v>287</v>
      </c>
      <c r="D87" s="37" cm="1">
        <f t="array" aca="1" ref="D87" ca="1">INDIRECT("'" &amp; C87 &amp; "'!$e$117")</f>
        <v>1</v>
      </c>
      <c r="E87" s="37" cm="1">
        <f t="array" aca="1" ref="E87" ca="1">INDIRECT("'" &amp; C87 &amp; "'!$f$117")</f>
        <v>1</v>
      </c>
      <c r="F87" s="2"/>
      <c r="G87" s="64"/>
      <c r="H87" s="64" t="s">
        <v>379</v>
      </c>
      <c r="I87" s="79"/>
      <c r="J87" s="64"/>
      <c r="K87" s="64" t="s">
        <v>379</v>
      </c>
      <c r="M87" s="64"/>
      <c r="N87" s="64" t="s">
        <v>379</v>
      </c>
      <c r="P87" s="64"/>
      <c r="Q87" s="64" t="s">
        <v>379</v>
      </c>
      <c r="S87" t="s">
        <v>339</v>
      </c>
      <c r="V87" t="s">
        <v>340</v>
      </c>
      <c r="W87">
        <v>0.05</v>
      </c>
      <c r="Y87" t="s">
        <v>341</v>
      </c>
      <c r="Z87">
        <v>0</v>
      </c>
      <c r="AD87" t="s">
        <v>381</v>
      </c>
      <c r="AE87" t="s">
        <v>382</v>
      </c>
    </row>
    <row r="88" spans="3:31" ht="15" thickTop="1" x14ac:dyDescent="0.3">
      <c r="C88" s="2" t="s">
        <v>288</v>
      </c>
      <c r="D88" s="37" cm="1">
        <f t="array" aca="1" ref="D88" ca="1">INDIRECT("'" &amp; C88 &amp; "'!$e$117")</f>
        <v>2</v>
      </c>
      <c r="E88" s="37" cm="1">
        <f t="array" aca="1" ref="E88" ca="1">INDIRECT("'" &amp; C88 &amp; "'!$f$117")</f>
        <v>1</v>
      </c>
      <c r="F88" s="2"/>
      <c r="G88" s="65" t="s">
        <v>301</v>
      </c>
      <c r="H88" s="65">
        <f ca="1">AVERAGE(D85:D105)</f>
        <v>1.7142857142857142</v>
      </c>
      <c r="J88" t="s">
        <v>332</v>
      </c>
      <c r="K88">
        <f ca="1">[1]!SHAPIRO(D85:D105)</f>
        <v>0.69175503669053739</v>
      </c>
      <c r="M88" t="s">
        <v>301</v>
      </c>
      <c r="N88" s="65">
        <f ca="1">AVERAGE(E85:E105)</f>
        <v>2.0952380952380953</v>
      </c>
      <c r="P88" t="s">
        <v>332</v>
      </c>
      <c r="Q88">
        <f ca="1">[1]!SHAPIRO(E85:E105)</f>
        <v>0.7024524113803291</v>
      </c>
      <c r="S88" s="68" t="s">
        <v>342</v>
      </c>
      <c r="T88" s="68" t="s">
        <v>313</v>
      </c>
      <c r="U88" s="68" t="s">
        <v>301</v>
      </c>
      <c r="V88" s="68" t="s">
        <v>343</v>
      </c>
      <c r="W88" s="68" t="s">
        <v>344</v>
      </c>
      <c r="X88" s="68" t="s">
        <v>345</v>
      </c>
      <c r="Y88" s="68" t="s">
        <v>346</v>
      </c>
      <c r="Z88" s="68" t="s">
        <v>347</v>
      </c>
      <c r="AA88" s="68" t="s">
        <v>348</v>
      </c>
      <c r="AC88" t="s">
        <v>359</v>
      </c>
      <c r="AD88" s="102">
        <f ca="1">MEDIAN(D85:D105)</f>
        <v>1</v>
      </c>
      <c r="AE88" s="103">
        <f ca="1">MEDIAN(E85:E105)</f>
        <v>1</v>
      </c>
    </row>
    <row r="89" spans="3:31" x14ac:dyDescent="0.3">
      <c r="C89" s="2" t="s">
        <v>289</v>
      </c>
      <c r="D89" s="37" cm="1">
        <f t="array" aca="1" ref="D89" ca="1">INDIRECT("'" &amp; C89 &amp; "'!$e$117")</f>
        <v>1</v>
      </c>
      <c r="E89" s="37" cm="1">
        <f t="array" aca="1" ref="E89" ca="1">INDIRECT("'" &amp; C89 &amp; "'!$f$117")</f>
        <v>1</v>
      </c>
      <c r="F89" s="2"/>
      <c r="G89" t="s">
        <v>302</v>
      </c>
      <c r="H89">
        <f ca="1">_xlfn.STDEV.S(D85:D105)/SQRT(COUNT(D85:D105))</f>
        <v>0.24046440329433519</v>
      </c>
      <c r="J89" t="s">
        <v>333</v>
      </c>
      <c r="K89">
        <f ca="1">[1]!SWTEST(D85:D105)</f>
        <v>2.1770131070408816E-5</v>
      </c>
      <c r="M89" t="s">
        <v>302</v>
      </c>
      <c r="N89">
        <f ca="1">_xlfn.STDEV.S(E85:E105)/SQRT(COUNT(E85:E105))</f>
        <v>0.37100097487204675</v>
      </c>
      <c r="P89" t="s">
        <v>333</v>
      </c>
      <c r="Q89">
        <f ca="1">[1]!SWTEST(E85:E105)</f>
        <v>2.9542385222125489E-5</v>
      </c>
      <c r="S89" t="s">
        <v>379</v>
      </c>
      <c r="T89">
        <f ca="1">COUNT(D85:D105)</f>
        <v>21</v>
      </c>
      <c r="U89" s="65">
        <f ca="1">AVERAGE(D85:D105)</f>
        <v>1.7142857142857142</v>
      </c>
      <c r="V89">
        <f ca="1">_xlfn.STDEV.S(D85:D105)</f>
        <v>1.1019463300386794</v>
      </c>
    </row>
    <row r="90" spans="3:31" x14ac:dyDescent="0.3">
      <c r="C90" s="2" t="s">
        <v>290</v>
      </c>
      <c r="D90" s="37" cm="1">
        <f t="array" aca="1" ref="D90" ca="1">INDIRECT("'" &amp; C90 &amp; "'!$e$117")</f>
        <v>1</v>
      </c>
      <c r="E90" s="37" cm="1">
        <f t="array" aca="1" ref="E90" ca="1">INDIRECT("'" &amp; C90 &amp; "'!$f$117")</f>
        <v>1</v>
      </c>
      <c r="F90" s="2"/>
      <c r="G90" s="65" t="s">
        <v>303</v>
      </c>
      <c r="H90" s="65">
        <f ca="1">MEDIAN(D85:D105)</f>
        <v>1</v>
      </c>
      <c r="J90" t="s">
        <v>334</v>
      </c>
      <c r="K90">
        <v>0.05</v>
      </c>
      <c r="M90" t="s">
        <v>303</v>
      </c>
      <c r="N90" s="65">
        <f ca="1">MEDIAN(E85:E105)</f>
        <v>1</v>
      </c>
      <c r="P90" t="s">
        <v>334</v>
      </c>
      <c r="Q90">
        <v>0.05</v>
      </c>
      <c r="S90" t="s">
        <v>380</v>
      </c>
      <c r="T90">
        <f ca="1">COUNT(E85:E105)</f>
        <v>21</v>
      </c>
      <c r="U90" s="65">
        <f ca="1">AVERAGE(E85:E105)</f>
        <v>2.0952380952380953</v>
      </c>
      <c r="V90">
        <f ca="1">_xlfn.STDEV.S(E85:E105)</f>
        <v>1.7001400502535637</v>
      </c>
      <c r="AC90" t="s">
        <v>360</v>
      </c>
      <c r="AD90" s="88">
        <f ca="1">SUMPRODUCT(--ISNUMBER(D85:D105),--ISNUMBER(E85:E105))</f>
        <v>21</v>
      </c>
    </row>
    <row r="91" spans="3:31" x14ac:dyDescent="0.3">
      <c r="C91" s="2" t="s">
        <v>291</v>
      </c>
      <c r="D91" s="37" cm="1">
        <f t="array" aca="1" ref="D91" ca="1">INDIRECT("'" &amp; C91 &amp; "'!$e$117")</f>
        <v>2</v>
      </c>
      <c r="E91" s="37" cm="1">
        <f t="array" aca="1" ref="E91" ca="1">INDIRECT("'" &amp; C91 &amp; "'!$f$117")</f>
        <v>2</v>
      </c>
      <c r="F91" s="2"/>
      <c r="G91" t="s">
        <v>304</v>
      </c>
      <c r="H91">
        <f ca="1">MODE(D85:D105)</f>
        <v>1</v>
      </c>
      <c r="J91" s="66" t="s">
        <v>335</v>
      </c>
      <c r="K91" s="66" t="str">
        <f ca="1">IF(K89&lt;K90,"no","yes")</f>
        <v>no</v>
      </c>
      <c r="M91" t="s">
        <v>304</v>
      </c>
      <c r="N91">
        <f ca="1">MODE(E85:E105)</f>
        <v>1</v>
      </c>
      <c r="P91" s="63" t="s">
        <v>335</v>
      </c>
      <c r="Q91" s="66" t="str">
        <f ca="1">IF(Q89&lt;Q90,"no","yes")</f>
        <v>no</v>
      </c>
      <c r="S91" s="85" t="s">
        <v>349</v>
      </c>
      <c r="T91" s="85">
        <f ca="1">T90</f>
        <v>21</v>
      </c>
      <c r="U91" s="100">
        <f ca="1">U89-U90</f>
        <v>-0.38095238095238115</v>
      </c>
      <c r="V91" s="85">
        <f t="array" aca="1" ref="V91" ca="1">_xlfn.STDEV.S(D85:D105-E85:E105)</f>
        <v>1.6575943555704598</v>
      </c>
      <c r="W91" s="85">
        <f ca="1">V91/SQRT(T91)</f>
        <v>0.36171674313967511</v>
      </c>
      <c r="X91" s="85">
        <f ca="1">(U89-U90-Z87)/W91</f>
        <v>-1.0531787321917756</v>
      </c>
      <c r="Y91" s="85">
        <f ca="1">T91-1</f>
        <v>20</v>
      </c>
      <c r="Z91" s="85">
        <f ca="1">ABS(U89-U90-Z87)/V91</f>
        <v>0.22982244098030649</v>
      </c>
      <c r="AA91" s="85">
        <f ca="1">SQRT(X91^2/(X91^2+Y91))</f>
        <v>0.22922730202450126</v>
      </c>
      <c r="AC91" t="s">
        <v>361</v>
      </c>
      <c r="AD91" s="74">
        <f ca="1">SUMPRODUCT(--ISNUMBER(D85:D105),--ISNUMBER(E85:E105),--(D85:D105&lt;&gt;E85:E105))</f>
        <v>6</v>
      </c>
    </row>
    <row r="92" spans="3:31" x14ac:dyDescent="0.3">
      <c r="C92" s="2" t="s">
        <v>292</v>
      </c>
      <c r="D92" s="37" cm="1">
        <f t="array" aca="1" ref="D92" ca="1">INDIRECT("'" &amp; C92 &amp; "'!$e$117")</f>
        <v>5</v>
      </c>
      <c r="E92" s="37" cm="1">
        <f t="array" aca="1" ref="E92" ca="1">INDIRECT("'" &amp; C92 &amp; "'!$f$117")</f>
        <v>2</v>
      </c>
      <c r="F92" s="2"/>
      <c r="G92" t="s">
        <v>305</v>
      </c>
      <c r="H92">
        <f ca="1">_xlfn.STDEV.S(D85:D105)</f>
        <v>1.1019463300386794</v>
      </c>
      <c r="M92" t="s">
        <v>305</v>
      </c>
      <c r="N92">
        <f ca="1">_xlfn.STDEV.S(E85:E105)</f>
        <v>1.7001400502535637</v>
      </c>
      <c r="AC92" t="s">
        <v>362</v>
      </c>
      <c r="AD92" s="74">
        <f ca="1">IF(AD94&lt;=AD97,AD94,AD91*(AD91+1)/2)</f>
        <v>6</v>
      </c>
    </row>
    <row r="93" spans="3:31" ht="15" thickBot="1" x14ac:dyDescent="0.35">
      <c r="C93" s="2" t="s">
        <v>293</v>
      </c>
      <c r="D93" s="37" cm="1">
        <f t="array" aca="1" ref="D93" ca="1">INDIRECT("'" &amp; C93 &amp; "'!$e$117")</f>
        <v>1</v>
      </c>
      <c r="E93" s="37" cm="1">
        <f t="array" aca="1" ref="E93" ca="1">INDIRECT("'" &amp; C93 &amp; "'!$f$117")</f>
        <v>1</v>
      </c>
      <c r="F93" s="2"/>
      <c r="G93" t="s">
        <v>306</v>
      </c>
      <c r="H93">
        <f ca="1">_xlfn.VAR.S(D85:D105)</f>
        <v>1.2142857142857142</v>
      </c>
      <c r="J93" t="s">
        <v>336</v>
      </c>
      <c r="M93" t="s">
        <v>306</v>
      </c>
      <c r="N93">
        <f ca="1">_xlfn.VAR.S(E85:E105)</f>
        <v>2.8904761904761904</v>
      </c>
      <c r="P93" t="s">
        <v>336</v>
      </c>
      <c r="S93" t="s">
        <v>350</v>
      </c>
      <c r="AC93" t="s">
        <v>363</v>
      </c>
      <c r="AD93" s="74">
        <f ca="1">AD91*(AD91+1)/2-AD92</f>
        <v>15</v>
      </c>
    </row>
    <row r="94" spans="3:31" ht="15" thickTop="1" x14ac:dyDescent="0.3">
      <c r="C94" s="2" t="s">
        <v>294</v>
      </c>
      <c r="D94" s="37" cm="1">
        <f t="array" aca="1" ref="D94" ca="1">INDIRECT("'" &amp; C94 &amp; "'!$e$117")</f>
        <v>1</v>
      </c>
      <c r="E94" s="37" cm="1">
        <f t="array" aca="1" ref="E94" ca="1">INDIRECT("'" &amp; C94 &amp; "'!$f$117")</f>
        <v>1</v>
      </c>
      <c r="F94" s="2"/>
      <c r="G94" t="s">
        <v>307</v>
      </c>
      <c r="H94">
        <f ca="1">KURT(D85:D105)</f>
        <v>3.3507193589510096</v>
      </c>
      <c r="M94" t="s">
        <v>307</v>
      </c>
      <c r="N94">
        <f ca="1">KURT(E85:E105)</f>
        <v>2.2042627909225794</v>
      </c>
      <c r="S94" s="68" t="s">
        <v>351</v>
      </c>
      <c r="T94" s="68" t="s">
        <v>333</v>
      </c>
      <c r="U94" s="68" t="s">
        <v>352</v>
      </c>
      <c r="V94" s="68" t="s">
        <v>353</v>
      </c>
      <c r="W94" s="68" t="s">
        <v>354</v>
      </c>
      <c r="X94" s="68" t="s">
        <v>355</v>
      </c>
      <c r="AC94" t="s">
        <v>364</v>
      </c>
      <c r="AD94" s="75">
        <f ca="1">[1]!SRANK(D85:D105,E85:E105)</f>
        <v>6</v>
      </c>
    </row>
    <row r="95" spans="3:31" x14ac:dyDescent="0.3">
      <c r="C95" s="2" t="s">
        <v>295</v>
      </c>
      <c r="D95" s="37" cm="1">
        <f t="array" aca="1" ref="D95" ca="1">INDIRECT("'" &amp; C95 &amp; "'!$e$117")</f>
        <v>2</v>
      </c>
      <c r="E95" s="37" cm="1">
        <f t="array" aca="1" ref="E95" ca="1">INDIRECT("'" &amp; C95 &amp; "'!$f$117")</f>
        <v>2</v>
      </c>
      <c r="F95" s="2"/>
      <c r="G95" t="s">
        <v>308</v>
      </c>
      <c r="H95">
        <f ca="1">SKEW(D85:D105)</f>
        <v>1.8711614608050695</v>
      </c>
      <c r="J95" s="85" t="s">
        <v>337</v>
      </c>
      <c r="K95" s="85">
        <f ca="1">[1]!DAGOSTINO(D85:D105)</f>
        <v>15.982633566545282</v>
      </c>
      <c r="M95" t="s">
        <v>308</v>
      </c>
      <c r="N95">
        <f ca="1">SKEW(E85:E105)</f>
        <v>1.6583268202868369</v>
      </c>
      <c r="P95" s="85" t="s">
        <v>337</v>
      </c>
      <c r="Q95" s="85">
        <f ca="1">[1]!DAGOSTINO(E85:E105)</f>
        <v>12.220927401844193</v>
      </c>
      <c r="S95" t="s">
        <v>356</v>
      </c>
      <c r="T95">
        <f ca="1">_xlfn.T.DIST.RT(ABS(X91),Y91)</f>
        <v>0.15240872919998211</v>
      </c>
      <c r="U95">
        <f ca="1">_xlfn.T.INV.2T(W87*2,Y91)</f>
        <v>1.7247182429207868</v>
      </c>
      <c r="X95" s="70" t="str">
        <f ca="1">IF(T95&lt;W87,"yes","no")</f>
        <v>no</v>
      </c>
    </row>
    <row r="96" spans="3:31" x14ac:dyDescent="0.3">
      <c r="C96" s="2" t="s">
        <v>296</v>
      </c>
      <c r="D96" s="37" cm="1">
        <f t="array" aca="1" ref="D96" ca="1">INDIRECT("'" &amp; C96 &amp; "'!$e$117")</f>
        <v>3</v>
      </c>
      <c r="E96" s="37" cm="1">
        <f t="array" aca="1" ref="E96" ca="1">INDIRECT("'" &amp; C96 &amp; "'!$f$117")</f>
        <v>5</v>
      </c>
      <c r="F96" s="2"/>
      <c r="G96" t="s">
        <v>309</v>
      </c>
      <c r="H96">
        <f ca="1">H97-H98</f>
        <v>4</v>
      </c>
      <c r="J96" t="s">
        <v>333</v>
      </c>
      <c r="K96">
        <f ca="1">[1]!DPTEST(D85:D105)</f>
        <v>3.383882059366794E-4</v>
      </c>
      <c r="M96" t="s">
        <v>309</v>
      </c>
      <c r="N96">
        <f ca="1">N97-N98</f>
        <v>6</v>
      </c>
      <c r="P96" t="s">
        <v>333</v>
      </c>
      <c r="Q96">
        <f ca="1">[1]!DPTEST(E85:E105)</f>
        <v>2.2195213800317859E-3</v>
      </c>
      <c r="S96" t="s">
        <v>357</v>
      </c>
      <c r="T96">
        <f ca="1">_xlfn.T.DIST.2T(ABS(X91),Y91)</f>
        <v>0.30481745839996421</v>
      </c>
      <c r="U96">
        <f ca="1">_xlfn.T.INV.2T(W87,Y91)</f>
        <v>2.0859634472658648</v>
      </c>
      <c r="V96">
        <f ca="1">(U89-U90)-W91*U96</f>
        <v>-1.1354802854057993</v>
      </c>
      <c r="W96">
        <f ca="1">(U89-U90)+W91*U96</f>
        <v>0.37357552350103684</v>
      </c>
      <c r="X96" s="70" t="str">
        <f ca="1">IF(T96&lt;W87,"yes","no")</f>
        <v>no</v>
      </c>
      <c r="AD96" s="70" t="s">
        <v>365</v>
      </c>
      <c r="AE96" s="70" t="s">
        <v>366</v>
      </c>
    </row>
    <row r="97" spans="3:31" x14ac:dyDescent="0.3">
      <c r="C97" s="2" t="s">
        <v>297</v>
      </c>
      <c r="D97" s="37" cm="1">
        <f t="array" aca="1" ref="D97" ca="1">INDIRECT("'" &amp; C97 &amp; "'!$e$117")</f>
        <v>2</v>
      </c>
      <c r="E97" s="37" cm="1">
        <f t="array" aca="1" ref="E97" ca="1">INDIRECT("'" &amp; C97 &amp; "'!$f$117")</f>
        <v>4</v>
      </c>
      <c r="F97" s="2"/>
      <c r="G97" s="65" t="s">
        <v>310</v>
      </c>
      <c r="H97" s="65">
        <f ca="1">MAX(D85:D105)</f>
        <v>5</v>
      </c>
      <c r="J97" t="s">
        <v>334</v>
      </c>
      <c r="K97">
        <v>0.05</v>
      </c>
      <c r="M97" t="s">
        <v>310</v>
      </c>
      <c r="N97" s="65">
        <f ca="1">MAX(E85:E105)</f>
        <v>7</v>
      </c>
      <c r="P97" t="s">
        <v>334</v>
      </c>
      <c r="Q97">
        <v>0.05</v>
      </c>
      <c r="S97" s="85"/>
      <c r="T97" s="85"/>
      <c r="U97" s="85"/>
      <c r="V97" s="85"/>
      <c r="W97" s="85"/>
      <c r="X97" s="85"/>
      <c r="AC97" t="s">
        <v>367</v>
      </c>
      <c r="AD97" s="88">
        <f ca="1">AD91*(AD91+1)/4</f>
        <v>10.5</v>
      </c>
    </row>
    <row r="98" spans="3:31" x14ac:dyDescent="0.3">
      <c r="C98" s="2" t="s">
        <v>298</v>
      </c>
      <c r="D98" s="37" cm="1">
        <f t="array" aca="1" ref="D98" ca="1">INDIRECT("'" &amp; C98 &amp; "'!$e$117")</f>
        <v>1</v>
      </c>
      <c r="E98" s="37" cm="1">
        <f t="array" aca="1" ref="E98" ca="1">INDIRECT("'" &amp; C98 &amp; "'!$f$117")</f>
        <v>1</v>
      </c>
      <c r="F98" s="2"/>
      <c r="G98" s="65" t="s">
        <v>311</v>
      </c>
      <c r="H98" s="65">
        <f ca="1">MIN(D85:D105)</f>
        <v>1</v>
      </c>
      <c r="J98" s="66" t="s">
        <v>335</v>
      </c>
      <c r="K98" s="66" t="str">
        <f ca="1">IF(K96&lt;K97,"no","yes")</f>
        <v>no</v>
      </c>
      <c r="M98" t="s">
        <v>311</v>
      </c>
      <c r="N98" s="65">
        <f ca="1">MIN(E85:E105)</f>
        <v>1</v>
      </c>
      <c r="P98" s="63" t="s">
        <v>335</v>
      </c>
      <c r="Q98" s="66" t="str">
        <f ca="1">IF(Q96&lt;Q97,"no","yes")</f>
        <v>no</v>
      </c>
      <c r="AC98" t="s">
        <v>368</v>
      </c>
      <c r="AD98" s="74">
        <f ca="1">SQRT(AD97*(2*AD91+1)/6-[1]!TiesCorrection(D85:D105,E85:E105,1)/48)</f>
        <v>4.7169905660283016</v>
      </c>
      <c r="AE98" t="s">
        <v>369</v>
      </c>
    </row>
    <row r="99" spans="3:31" x14ac:dyDescent="0.3">
      <c r="C99" s="2" t="s">
        <v>299</v>
      </c>
      <c r="D99" s="37" cm="1">
        <f t="array" aca="1" ref="D99" ca="1">INDIRECT("'" &amp; C99 &amp; "'!$e$117")</f>
        <v>1</v>
      </c>
      <c r="E99" s="37" cm="1">
        <f t="array" aca="1" ref="E99" ca="1">INDIRECT("'" &amp; C99 &amp; "'!$f$117")</f>
        <v>1</v>
      </c>
      <c r="F99" s="2"/>
      <c r="G99" s="65" t="s">
        <v>312</v>
      </c>
      <c r="H99" s="65">
        <f ca="1">SUM(D85:D105)</f>
        <v>36</v>
      </c>
      <c r="M99" t="s">
        <v>312</v>
      </c>
      <c r="N99" s="65">
        <f ca="1">SUM(E85:E105)</f>
        <v>44</v>
      </c>
      <c r="AC99" t="s">
        <v>370</v>
      </c>
      <c r="AD99" s="74">
        <f ca="1">ABS(ABS(AD94-AD97)-1/2)/AD98</f>
        <v>0.84799830400508802</v>
      </c>
      <c r="AE99" t="s">
        <v>371</v>
      </c>
    </row>
    <row r="100" spans="3:31" x14ac:dyDescent="0.3">
      <c r="C100" s="2" t="s">
        <v>395</v>
      </c>
      <c r="D100" s="37" cm="1">
        <f t="array" aca="1" ref="D100" ca="1">INDIRECT("'" &amp; C100 &amp; "'!$e$117")</f>
        <v>1</v>
      </c>
      <c r="E100" s="37" cm="1">
        <f t="array" aca="1" ref="E100" ca="1">INDIRECT("'" &amp; C100 &amp; "'!$f$117")</f>
        <v>1</v>
      </c>
      <c r="F100" s="2"/>
      <c r="G100" t="s">
        <v>313</v>
      </c>
      <c r="H100">
        <f ca="1">COUNT(D85:D105)</f>
        <v>21</v>
      </c>
      <c r="M100" t="s">
        <v>313</v>
      </c>
      <c r="N100">
        <f ca="1">COUNT(E85:E105)</f>
        <v>21</v>
      </c>
      <c r="AC100" t="s">
        <v>372</v>
      </c>
      <c r="AD100" s="74">
        <f ca="1">AD99/SQRT(AD91)</f>
        <v>0.34619385792633239</v>
      </c>
    </row>
    <row r="101" spans="3:31" x14ac:dyDescent="0.3">
      <c r="C101" s="2" t="s">
        <v>396</v>
      </c>
      <c r="D101" s="37" cm="1">
        <f t="array" aca="1" ref="D101" ca="1">INDIRECT("'" &amp; C101 &amp; "'!$e$117")</f>
        <v>1</v>
      </c>
      <c r="E101" s="37" cm="1">
        <f t="array" aca="1" ref="E101" ca="1">INDIRECT("'" &amp; C101 &amp; "'!$f$117")</f>
        <v>1</v>
      </c>
      <c r="F101" s="2"/>
      <c r="G101" t="s">
        <v>314</v>
      </c>
      <c r="H101">
        <f ca="1">GEOMEAN(D85:D105)</f>
        <v>1.4814344483854058</v>
      </c>
      <c r="M101" t="s">
        <v>314</v>
      </c>
      <c r="N101">
        <f ca="1">GEOMEAN(E85:E105)</f>
        <v>1.6476868160504494</v>
      </c>
      <c r="AC101" t="s">
        <v>373</v>
      </c>
      <c r="AD101" s="88">
        <f ca="1">1-_xlfn.NORM.S.DIST(AD99,TRUE)</f>
        <v>0.19821945762856041</v>
      </c>
      <c r="AE101" s="104">
        <f ca="1">2*AD101</f>
        <v>0.39643891525712083</v>
      </c>
    </row>
    <row r="102" spans="3:31" x14ac:dyDescent="0.3">
      <c r="C102" s="2" t="s">
        <v>397</v>
      </c>
      <c r="D102" s="37" cm="1">
        <f t="array" aca="1" ref="D102" ca="1">INDIRECT("'" &amp; C102 &amp; "'!$e$117")</f>
        <v>2</v>
      </c>
      <c r="E102" s="37" cm="1">
        <f t="array" aca="1" ref="E102" ca="1">INDIRECT("'" &amp; C102 &amp; "'!$f$117")</f>
        <v>4</v>
      </c>
      <c r="F102" s="2"/>
      <c r="G102" t="s">
        <v>315</v>
      </c>
      <c r="H102">
        <f ca="1">HARMEAN(D85:D105)</f>
        <v>1.3305174234424499</v>
      </c>
      <c r="M102" t="s">
        <v>315</v>
      </c>
      <c r="N102">
        <f ca="1">HARMEAN(E85:E105)</f>
        <v>1.3913866540463797</v>
      </c>
      <c r="AC102" t="s">
        <v>374</v>
      </c>
      <c r="AD102" s="74">
        <f ca="1">[1]!SRDIST(AD94,AD91,1)</f>
        <v>0.21875</v>
      </c>
      <c r="AE102" s="77">
        <f ca="1">2*AD102</f>
        <v>0.4375</v>
      </c>
    </row>
    <row r="103" spans="3:31" x14ac:dyDescent="0.3">
      <c r="C103" s="2" t="s">
        <v>398</v>
      </c>
      <c r="D103" s="37" cm="1">
        <f t="array" aca="1" ref="D103" ca="1">INDIRECT("'" &amp; C103 &amp; "'!$e$117")</f>
        <v>1</v>
      </c>
      <c r="E103" s="37" cm="1">
        <f t="array" aca="1" ref="E103" ca="1">INDIRECT("'" &amp; C103 &amp; "'!$f$117")</f>
        <v>1</v>
      </c>
      <c r="F103" s="2"/>
      <c r="G103" t="s">
        <v>316</v>
      </c>
      <c r="H103">
        <f ca="1">AVEDEV(D85:D105)</f>
        <v>0.81632653061224492</v>
      </c>
      <c r="M103" t="s">
        <v>316</v>
      </c>
      <c r="N103">
        <f ca="1">AVEDEV(E85:E105)</f>
        <v>1.2879818594104306</v>
      </c>
      <c r="AC103" t="s">
        <v>375</v>
      </c>
      <c r="AD103" s="75" t="s">
        <v>376</v>
      </c>
      <c r="AE103" s="78" t="s">
        <v>376</v>
      </c>
    </row>
    <row r="104" spans="3:31" x14ac:dyDescent="0.3">
      <c r="C104" s="2" t="s">
        <v>399</v>
      </c>
      <c r="D104" s="37" cm="1">
        <f t="array" aca="1" ref="D104" ca="1">INDIRECT("'" &amp; C104 &amp; "'!$e$117")</f>
        <v>1</v>
      </c>
      <c r="E104" s="37" cm="1">
        <f t="array" aca="1" ref="E104" ca="1">INDIRECT("'" &amp; C104 &amp; "'!$f$117")</f>
        <v>7</v>
      </c>
      <c r="F104" s="2"/>
      <c r="G104" t="s">
        <v>317</v>
      </c>
      <c r="H104">
        <f ca="1">[1]!MAD(D85:D105)</f>
        <v>0</v>
      </c>
      <c r="M104" t="s">
        <v>317</v>
      </c>
      <c r="N104">
        <f ca="1">[1]!MAD(E85:E105)</f>
        <v>0</v>
      </c>
    </row>
    <row r="105" spans="3:31" x14ac:dyDescent="0.3">
      <c r="C105" s="2" t="s">
        <v>400</v>
      </c>
      <c r="D105" s="37" cm="1">
        <f t="array" aca="1" ref="D105" ca="1">INDIRECT("'" &amp; C105 &amp; "'!$e$117")</f>
        <v>2</v>
      </c>
      <c r="E105" s="37" cm="1">
        <f t="array" aca="1" ref="E105" ca="1">INDIRECT("'" &amp; C105 &amp; "'!$f$117")</f>
        <v>2</v>
      </c>
      <c r="G105" s="63" t="s">
        <v>318</v>
      </c>
      <c r="H105" s="63">
        <f ca="1">[1]!IQR(D85:D105,FALSE)</f>
        <v>1</v>
      </c>
      <c r="M105" s="63" t="s">
        <v>318</v>
      </c>
      <c r="N105" s="63">
        <f ca="1">[1]!IQR(E85:E105,FALSE)</f>
        <v>1</v>
      </c>
    </row>
    <row r="110" spans="3:31" x14ac:dyDescent="0.3">
      <c r="C110" s="2"/>
      <c r="D110" s="82" t="s">
        <v>427</v>
      </c>
      <c r="E110" s="83"/>
      <c r="G110" s="107"/>
      <c r="J110" s="107"/>
    </row>
    <row r="111" spans="3:31" x14ac:dyDescent="0.3">
      <c r="C111" s="2"/>
      <c r="D111" s="2" t="s">
        <v>430</v>
      </c>
      <c r="E111" s="2" t="s">
        <v>431</v>
      </c>
      <c r="F111" s="2"/>
      <c r="G111" s="37"/>
      <c r="I111" s="2"/>
      <c r="J111" s="37"/>
    </row>
    <row r="112" spans="3:31" x14ac:dyDescent="0.3">
      <c r="C112" s="2" t="s">
        <v>285</v>
      </c>
      <c r="D112" s="37" cm="1">
        <f t="array" aca="1" ref="D112" ca="1">INDIRECT("'" &amp; C112 &amp; "'!$e$118")</f>
        <v>7</v>
      </c>
      <c r="E112" s="37" cm="1">
        <f t="array" aca="1" ref="E112" ca="1">INDIRECT("'" &amp; C112 &amp; "'!$f$118")</f>
        <v>7</v>
      </c>
      <c r="F112" s="2"/>
      <c r="G112" t="s">
        <v>300</v>
      </c>
      <c r="J112" t="s">
        <v>331</v>
      </c>
      <c r="M112" t="s">
        <v>300</v>
      </c>
      <c r="P112" t="s">
        <v>331</v>
      </c>
      <c r="S112" t="s">
        <v>338</v>
      </c>
      <c r="AC112" t="s">
        <v>358</v>
      </c>
    </row>
    <row r="113" spans="3:31" x14ac:dyDescent="0.3">
      <c r="C113" s="2" t="s">
        <v>286</v>
      </c>
      <c r="D113" s="37" cm="1">
        <f t="array" aca="1" ref="D113" ca="1">INDIRECT("'" &amp; C113 &amp; "'!$e$118")</f>
        <v>7</v>
      </c>
      <c r="E113" s="37" cm="1">
        <f t="array" aca="1" ref="E113" ca="1">INDIRECT("'" &amp; C113 &amp; "'!$f$118")</f>
        <v>6</v>
      </c>
      <c r="F113" s="2"/>
    </row>
    <row r="114" spans="3:31" ht="15" thickBot="1" x14ac:dyDescent="0.35">
      <c r="C114" s="2" t="s">
        <v>287</v>
      </c>
      <c r="D114" s="37" cm="1">
        <f t="array" aca="1" ref="D114" ca="1">INDIRECT("'" &amp; C114 &amp; "'!$e$118")</f>
        <v>5</v>
      </c>
      <c r="E114" s="37" cm="1">
        <f t="array" aca="1" ref="E114" ca="1">INDIRECT("'" &amp; C114 &amp; "'!$f$118")</f>
        <v>7</v>
      </c>
      <c r="F114" s="2"/>
      <c r="G114" s="64"/>
      <c r="H114" s="64" t="s">
        <v>379</v>
      </c>
      <c r="I114" s="79"/>
      <c r="J114" s="64"/>
      <c r="K114" s="64" t="s">
        <v>379</v>
      </c>
      <c r="M114" s="64"/>
      <c r="N114" s="64" t="s">
        <v>379</v>
      </c>
      <c r="P114" s="64"/>
      <c r="Q114" s="64" t="s">
        <v>379</v>
      </c>
      <c r="S114" t="s">
        <v>339</v>
      </c>
      <c r="V114" t="s">
        <v>340</v>
      </c>
      <c r="W114">
        <v>0.05</v>
      </c>
      <c r="Y114" t="s">
        <v>341</v>
      </c>
      <c r="Z114">
        <v>0</v>
      </c>
      <c r="AD114" t="s">
        <v>381</v>
      </c>
      <c r="AE114" t="s">
        <v>382</v>
      </c>
    </row>
    <row r="115" spans="3:31" ht="15" thickTop="1" x14ac:dyDescent="0.3">
      <c r="C115" s="2" t="s">
        <v>288</v>
      </c>
      <c r="D115" s="37" cm="1">
        <f t="array" aca="1" ref="D115" ca="1">INDIRECT("'" &amp; C115 &amp; "'!$e$118")</f>
        <v>7</v>
      </c>
      <c r="E115" s="37" cm="1">
        <f t="array" aca="1" ref="E115" ca="1">INDIRECT("'" &amp; C115 &amp; "'!$f$118")</f>
        <v>7</v>
      </c>
      <c r="F115" s="2"/>
      <c r="G115" s="65" t="s">
        <v>301</v>
      </c>
      <c r="H115" s="65">
        <f ca="1">AVERAGE(D112:D132)</f>
        <v>6</v>
      </c>
      <c r="J115" t="s">
        <v>332</v>
      </c>
      <c r="K115">
        <f ca="1">[1]!SHAPIRO(D112:D132)</f>
        <v>0.79519896831466508</v>
      </c>
      <c r="M115" t="s">
        <v>301</v>
      </c>
      <c r="N115" s="65">
        <f ca="1">AVERAGE(E112:E132)</f>
        <v>6.8095238095238093</v>
      </c>
      <c r="P115" t="s">
        <v>332</v>
      </c>
      <c r="Q115">
        <f ca="1">[1]!SHAPIRO(E112:E132)</f>
        <v>0.48419666974652609</v>
      </c>
      <c r="S115" s="68" t="s">
        <v>342</v>
      </c>
      <c r="T115" s="68" t="s">
        <v>313</v>
      </c>
      <c r="U115" s="68" t="s">
        <v>301</v>
      </c>
      <c r="V115" s="68" t="s">
        <v>343</v>
      </c>
      <c r="W115" s="68" t="s">
        <v>344</v>
      </c>
      <c r="X115" s="68" t="s">
        <v>345</v>
      </c>
      <c r="Y115" s="68" t="s">
        <v>346</v>
      </c>
      <c r="Z115" s="68" t="s">
        <v>347</v>
      </c>
      <c r="AA115" s="68" t="s">
        <v>348</v>
      </c>
      <c r="AC115" t="s">
        <v>359</v>
      </c>
      <c r="AD115" s="102">
        <f ca="1">MEDIAN(D112:D132)</f>
        <v>6</v>
      </c>
      <c r="AE115" s="103">
        <f ca="1">MEDIAN(E112:E132)</f>
        <v>7</v>
      </c>
    </row>
    <row r="116" spans="3:31" x14ac:dyDescent="0.3">
      <c r="C116" s="2" t="s">
        <v>289</v>
      </c>
      <c r="D116" s="37" cm="1">
        <f t="array" aca="1" ref="D116" ca="1">INDIRECT("'" &amp; C116 &amp; "'!$e$118")</f>
        <v>7</v>
      </c>
      <c r="E116" s="37" cm="1">
        <f t="array" aca="1" ref="E116" ca="1">INDIRECT("'" &amp; C116 &amp; "'!$f$118")</f>
        <v>7</v>
      </c>
      <c r="F116" s="2"/>
      <c r="G116" t="s">
        <v>302</v>
      </c>
      <c r="H116">
        <f ca="1">_xlfn.STDEV.S(D112:D132)/SQRT(COUNT(D112:D132))</f>
        <v>0.23904572186687872</v>
      </c>
      <c r="J116" t="s">
        <v>333</v>
      </c>
      <c r="K116">
        <f ca="1">[1]!SWTEST(D112:D132)</f>
        <v>5.5456557227784309E-4</v>
      </c>
      <c r="M116" t="s">
        <v>302</v>
      </c>
      <c r="N116">
        <f ca="1">_xlfn.STDEV.S(E112:E132)/SQRT(COUNT(E112:E132))</f>
        <v>8.7805185307551326E-2</v>
      </c>
      <c r="P116" t="s">
        <v>333</v>
      </c>
      <c r="Q116">
        <f ca="1">[1]!SWTEST(E112:E132)</f>
        <v>1.4590703278916095E-7</v>
      </c>
      <c r="S116" t="s">
        <v>379</v>
      </c>
      <c r="T116">
        <f ca="1">COUNT(D112:D132)</f>
        <v>21</v>
      </c>
      <c r="U116" s="65">
        <f ca="1">AVERAGE(D112:D132)</f>
        <v>6</v>
      </c>
      <c r="V116">
        <f ca="1">_xlfn.STDEV.S(D112:D132)</f>
        <v>1.0954451150103321</v>
      </c>
    </row>
    <row r="117" spans="3:31" x14ac:dyDescent="0.3">
      <c r="C117" s="2" t="s">
        <v>290</v>
      </c>
      <c r="D117" s="37" cm="1">
        <f t="array" aca="1" ref="D117" ca="1">INDIRECT("'" &amp; C117 &amp; "'!$e$118")</f>
        <v>5</v>
      </c>
      <c r="E117" s="37" cm="1">
        <f t="array" aca="1" ref="E117" ca="1">INDIRECT("'" &amp; C117 &amp; "'!$f$118")</f>
        <v>6</v>
      </c>
      <c r="F117" s="2"/>
      <c r="G117" s="65" t="s">
        <v>303</v>
      </c>
      <c r="H117" s="65">
        <f ca="1">MEDIAN(D112:D132)</f>
        <v>6</v>
      </c>
      <c r="J117" t="s">
        <v>334</v>
      </c>
      <c r="K117">
        <v>0.05</v>
      </c>
      <c r="M117" t="s">
        <v>303</v>
      </c>
      <c r="N117" s="65">
        <f ca="1">MEDIAN(E112:E132)</f>
        <v>7</v>
      </c>
      <c r="P117" t="s">
        <v>334</v>
      </c>
      <c r="Q117">
        <v>0.05</v>
      </c>
      <c r="S117" t="s">
        <v>380</v>
      </c>
      <c r="T117">
        <f ca="1">COUNT(E112:E132)</f>
        <v>21</v>
      </c>
      <c r="U117" s="65">
        <f ca="1">AVERAGE(E112:E132)</f>
        <v>6.8095238095238093</v>
      </c>
      <c r="V117">
        <f ca="1">_xlfn.STDEV.S(E112:E132)</f>
        <v>0.40237390808147833</v>
      </c>
      <c r="AC117" t="s">
        <v>360</v>
      </c>
      <c r="AD117" s="88">
        <f ca="1">SUMPRODUCT(--ISNUMBER(D112:D132),--ISNUMBER(E112:E132))</f>
        <v>21</v>
      </c>
    </row>
    <row r="118" spans="3:31" x14ac:dyDescent="0.3">
      <c r="C118" s="2" t="s">
        <v>291</v>
      </c>
      <c r="D118" s="37" cm="1">
        <f t="array" aca="1" ref="D118" ca="1">INDIRECT("'" &amp; C118 &amp; "'!$e$118")</f>
        <v>5</v>
      </c>
      <c r="E118" s="37" cm="1">
        <f t="array" aca="1" ref="E118" ca="1">INDIRECT("'" &amp; C118 &amp; "'!$f$118")</f>
        <v>7</v>
      </c>
      <c r="F118" s="2"/>
      <c r="G118" t="s">
        <v>304</v>
      </c>
      <c r="H118">
        <f ca="1">MODE(D112:D132)</f>
        <v>7</v>
      </c>
      <c r="J118" s="66" t="s">
        <v>335</v>
      </c>
      <c r="K118" s="66" t="str">
        <f ca="1">IF(K116&lt;K117,"no","yes")</f>
        <v>no</v>
      </c>
      <c r="M118" t="s">
        <v>304</v>
      </c>
      <c r="N118">
        <f ca="1">MODE(E112:E132)</f>
        <v>7</v>
      </c>
      <c r="P118" s="63" t="s">
        <v>335</v>
      </c>
      <c r="Q118" s="66" t="str">
        <f ca="1">IF(Q116&lt;Q117,"no","yes")</f>
        <v>no</v>
      </c>
      <c r="S118" s="85" t="s">
        <v>349</v>
      </c>
      <c r="T118" s="85">
        <f ca="1">T117</f>
        <v>21</v>
      </c>
      <c r="U118" s="100">
        <f ca="1">U116-U117</f>
        <v>-0.80952380952380931</v>
      </c>
      <c r="V118" s="85">
        <f t="array" aca="1" ref="V118" ca="1">_xlfn.STDEV.S(D112:D132-E112:E132)</f>
        <v>1.2090925365350502</v>
      </c>
      <c r="W118" s="85">
        <f ca="1">V118/SQRT(T118)</f>
        <v>0.26384562242276322</v>
      </c>
      <c r="X118" s="85">
        <f ca="1">(U116-U117-Z114)/W118</f>
        <v>-3.0681722216588416</v>
      </c>
      <c r="Y118" s="85">
        <f ca="1">T118-1</f>
        <v>20</v>
      </c>
      <c r="Z118" s="85">
        <f ca="1">ABS(U116-U117-Z114)/V118</f>
        <v>0.66953006909107005</v>
      </c>
      <c r="AA118" s="85">
        <f ca="1">SQRT(X118^2/(X118^2+Y118))</f>
        <v>0.56572457679376342</v>
      </c>
      <c r="AC118" t="s">
        <v>361</v>
      </c>
      <c r="AD118" s="74">
        <f ca="1">SUMPRODUCT(--ISNUMBER(D112:D132),--ISNUMBER(E112:E132),--(D112:D132&lt;&gt;E112:E132))</f>
        <v>12</v>
      </c>
    </row>
    <row r="119" spans="3:31" x14ac:dyDescent="0.3">
      <c r="C119" s="2" t="s">
        <v>292</v>
      </c>
      <c r="D119" s="37" cm="1">
        <f t="array" aca="1" ref="D119" ca="1">INDIRECT("'" &amp; C119 &amp; "'!$e$118")</f>
        <v>7</v>
      </c>
      <c r="E119" s="37" cm="1">
        <f t="array" aca="1" ref="E119" ca="1">INDIRECT("'" &amp; C119 &amp; "'!$f$118")</f>
        <v>7</v>
      </c>
      <c r="F119" s="2"/>
      <c r="G119" t="s">
        <v>305</v>
      </c>
      <c r="H119">
        <f ca="1">_xlfn.STDEV.S(D112:D132)</f>
        <v>1.0954451150103321</v>
      </c>
      <c r="M119" t="s">
        <v>305</v>
      </c>
      <c r="N119">
        <f ca="1">_xlfn.STDEV.S(E112:E132)</f>
        <v>0.40237390808147833</v>
      </c>
      <c r="AC119" t="s">
        <v>362</v>
      </c>
      <c r="AD119" s="74">
        <f ca="1">IF(AD121&lt;=AD124,AD121,AD118*(AD118+1)/2)</f>
        <v>6</v>
      </c>
    </row>
    <row r="120" spans="3:31" ht="15" thickBot="1" x14ac:dyDescent="0.35">
      <c r="C120" s="2" t="s">
        <v>293</v>
      </c>
      <c r="D120" s="37" cm="1">
        <f t="array" aca="1" ref="D120" ca="1">INDIRECT("'" &amp; C120 &amp; "'!$e$118")</f>
        <v>6</v>
      </c>
      <c r="E120" s="37" cm="1">
        <f t="array" aca="1" ref="E120" ca="1">INDIRECT("'" &amp; C120 &amp; "'!$f$118")</f>
        <v>6</v>
      </c>
      <c r="F120" s="2"/>
      <c r="G120" t="s">
        <v>306</v>
      </c>
      <c r="H120">
        <f ca="1">_xlfn.VAR.S(D112:D132)</f>
        <v>1.2</v>
      </c>
      <c r="J120" t="s">
        <v>336</v>
      </c>
      <c r="M120" t="s">
        <v>306</v>
      </c>
      <c r="N120">
        <f ca="1">_xlfn.VAR.S(E112:E132)</f>
        <v>0.16190476190476197</v>
      </c>
      <c r="P120" t="s">
        <v>336</v>
      </c>
      <c r="S120" t="s">
        <v>350</v>
      </c>
      <c r="AC120" t="s">
        <v>363</v>
      </c>
      <c r="AD120" s="74">
        <f ca="1">AD118*(AD118+1)/2-AD119</f>
        <v>72</v>
      </c>
    </row>
    <row r="121" spans="3:31" ht="15" thickTop="1" x14ac:dyDescent="0.3">
      <c r="C121" s="2" t="s">
        <v>294</v>
      </c>
      <c r="D121" s="37" cm="1">
        <f t="array" aca="1" ref="D121" ca="1">INDIRECT("'" &amp; C121 &amp; "'!$e$118")</f>
        <v>7</v>
      </c>
      <c r="E121" s="37" cm="1">
        <f t="array" aca="1" ref="E121" ca="1">INDIRECT("'" &amp; C121 &amp; "'!$f$118")</f>
        <v>6</v>
      </c>
      <c r="F121" s="2"/>
      <c r="G121" t="s">
        <v>307</v>
      </c>
      <c r="H121">
        <f ca="1">KURT(D112:D132)</f>
        <v>-1.257309941520468</v>
      </c>
      <c r="M121" t="s">
        <v>307</v>
      </c>
      <c r="N121">
        <f ca="1">KURT(E112:E132)</f>
        <v>0.97523219814240969</v>
      </c>
      <c r="S121" s="68" t="s">
        <v>351</v>
      </c>
      <c r="T121" s="68" t="s">
        <v>333</v>
      </c>
      <c r="U121" s="68" t="s">
        <v>352</v>
      </c>
      <c r="V121" s="68" t="s">
        <v>353</v>
      </c>
      <c r="W121" s="68" t="s">
        <v>354</v>
      </c>
      <c r="X121" s="68" t="s">
        <v>355</v>
      </c>
      <c r="AC121" t="s">
        <v>364</v>
      </c>
      <c r="AD121" s="75">
        <f ca="1">[1]!SRANK(D112:D132,E112:E132)</f>
        <v>6</v>
      </c>
    </row>
    <row r="122" spans="3:31" x14ac:dyDescent="0.3">
      <c r="C122" s="2" t="s">
        <v>295</v>
      </c>
      <c r="D122" s="37" cm="1">
        <f t="array" aca="1" ref="D122" ca="1">INDIRECT("'" &amp; C122 &amp; "'!$e$118")</f>
        <v>7</v>
      </c>
      <c r="E122" s="37" cm="1">
        <f t="array" aca="1" ref="E122" ca="1">INDIRECT("'" &amp; C122 &amp; "'!$f$118")</f>
        <v>7</v>
      </c>
      <c r="F122" s="2"/>
      <c r="G122" t="s">
        <v>308</v>
      </c>
      <c r="H122">
        <f ca="1">SKEW(D112:D132)</f>
        <v>-0.50448130296528459</v>
      </c>
      <c r="J122" s="85" t="s">
        <v>337</v>
      </c>
      <c r="K122" s="85">
        <f ca="1">[1]!DAGOSTINO(D112:D132)</f>
        <v>4.7910499940304936</v>
      </c>
      <c r="M122" t="s">
        <v>308</v>
      </c>
      <c r="N122">
        <f ca="1">SKEW(E112:E132)</f>
        <v>-1.700434627031632</v>
      </c>
      <c r="P122" s="85" t="s">
        <v>337</v>
      </c>
      <c r="Q122" s="85">
        <f ca="1">[1]!DAGOSTINO(E112:E132)</f>
        <v>10.376328151592869</v>
      </c>
      <c r="S122" t="s">
        <v>356</v>
      </c>
      <c r="T122">
        <f ca="1">_xlfn.T.DIST.RT(ABS(X118),Y118)</f>
        <v>3.0334307740886501E-3</v>
      </c>
      <c r="U122">
        <f ca="1">_xlfn.T.INV.2T(W114*2,Y118)</f>
        <v>1.7247182429207868</v>
      </c>
      <c r="X122" s="70" t="str">
        <f ca="1">IF(T122&lt;W114,"yes","no")</f>
        <v>yes</v>
      </c>
    </row>
    <row r="123" spans="3:31" x14ac:dyDescent="0.3">
      <c r="C123" s="2" t="s">
        <v>296</v>
      </c>
      <c r="D123" s="37" cm="1">
        <f t="array" aca="1" ref="D123" ca="1">INDIRECT("'" &amp; C123 &amp; "'!$e$118")</f>
        <v>6</v>
      </c>
      <c r="E123" s="37" cm="1">
        <f t="array" aca="1" ref="E123" ca="1">INDIRECT("'" &amp; C123 &amp; "'!$f$118")</f>
        <v>7</v>
      </c>
      <c r="F123" s="2"/>
      <c r="G123" t="s">
        <v>309</v>
      </c>
      <c r="H123">
        <f ca="1">H124-H125</f>
        <v>3</v>
      </c>
      <c r="J123" t="s">
        <v>333</v>
      </c>
      <c r="K123">
        <f ca="1">[1]!DPTEST(D112:D132)</f>
        <v>9.1124826100684841E-2</v>
      </c>
      <c r="M123" t="s">
        <v>309</v>
      </c>
      <c r="N123">
        <f ca="1">N124-N125</f>
        <v>1</v>
      </c>
      <c r="P123" t="s">
        <v>333</v>
      </c>
      <c r="Q123">
        <f ca="1">[1]!DPTEST(E112:E132)</f>
        <v>5.5822459933957402E-3</v>
      </c>
      <c r="S123" t="s">
        <v>357</v>
      </c>
      <c r="T123">
        <f ca="1">_xlfn.T.DIST.2T(ABS(X118),Y118)</f>
        <v>6.0668615481773002E-3</v>
      </c>
      <c r="U123">
        <f ca="1">_xlfn.T.INV.2T(W114,Y118)</f>
        <v>2.0859634472658648</v>
      </c>
      <c r="V123">
        <f ca="1">(U116-U117)-W118*U123</f>
        <v>-1.3598961336188042</v>
      </c>
      <c r="W123">
        <f ca="1">(U116-U117)+W118*U123</f>
        <v>-0.25915148542881439</v>
      </c>
      <c r="X123" s="70" t="str">
        <f ca="1">IF(T123&lt;W114,"yes","no")</f>
        <v>yes</v>
      </c>
      <c r="AD123" s="70" t="s">
        <v>365</v>
      </c>
      <c r="AE123" s="70" t="s">
        <v>366</v>
      </c>
    </row>
    <row r="124" spans="3:31" x14ac:dyDescent="0.3">
      <c r="C124" s="2" t="s">
        <v>297</v>
      </c>
      <c r="D124" s="37" cm="1">
        <f t="array" aca="1" ref="D124" ca="1">INDIRECT("'" &amp; C124 &amp; "'!$e$118")</f>
        <v>6</v>
      </c>
      <c r="E124" s="37" cm="1">
        <f t="array" aca="1" ref="E124" ca="1">INDIRECT("'" &amp; C124 &amp; "'!$f$118")</f>
        <v>7</v>
      </c>
      <c r="F124" s="2"/>
      <c r="G124" s="65" t="s">
        <v>310</v>
      </c>
      <c r="H124" s="65">
        <f ca="1">MAX(D112:D132)</f>
        <v>7</v>
      </c>
      <c r="J124" t="s">
        <v>334</v>
      </c>
      <c r="K124">
        <v>0.05</v>
      </c>
      <c r="M124" t="s">
        <v>310</v>
      </c>
      <c r="N124" s="65">
        <f ca="1">MAX(E112:E132)</f>
        <v>7</v>
      </c>
      <c r="P124" t="s">
        <v>334</v>
      </c>
      <c r="Q124">
        <v>0.05</v>
      </c>
      <c r="S124" s="85"/>
      <c r="T124" s="85"/>
      <c r="U124" s="85"/>
      <c r="V124" s="85"/>
      <c r="W124" s="85"/>
      <c r="X124" s="85"/>
      <c r="AC124" t="s">
        <v>367</v>
      </c>
      <c r="AD124" s="88">
        <f ca="1">AD118*(AD118+1)/4</f>
        <v>39</v>
      </c>
    </row>
    <row r="125" spans="3:31" x14ac:dyDescent="0.3">
      <c r="C125" s="2" t="s">
        <v>298</v>
      </c>
      <c r="D125" s="37" cm="1">
        <f t="array" aca="1" ref="D125" ca="1">INDIRECT("'" &amp; C125 &amp; "'!$e$118")</f>
        <v>7</v>
      </c>
      <c r="E125" s="37" cm="1">
        <f t="array" aca="1" ref="E125" ca="1">INDIRECT("'" &amp; C125 &amp; "'!$f$118")</f>
        <v>7</v>
      </c>
      <c r="F125" s="2"/>
      <c r="G125" s="65" t="s">
        <v>311</v>
      </c>
      <c r="H125" s="65">
        <f ca="1">MIN(D112:D132)</f>
        <v>4</v>
      </c>
      <c r="J125" s="66" t="s">
        <v>335</v>
      </c>
      <c r="K125" s="66" t="str">
        <f ca="1">IF(K123&lt;K124,"no","yes")</f>
        <v>yes</v>
      </c>
      <c r="M125" t="s">
        <v>311</v>
      </c>
      <c r="N125" s="65">
        <f ca="1">MIN(E112:E132)</f>
        <v>6</v>
      </c>
      <c r="P125" s="63" t="s">
        <v>335</v>
      </c>
      <c r="Q125" s="66" t="str">
        <f ca="1">IF(Q123&lt;Q124,"no","yes")</f>
        <v>no</v>
      </c>
      <c r="AC125" t="s">
        <v>368</v>
      </c>
      <c r="AD125" s="74">
        <f ca="1">SQRT(AD124*(2*AD118+1)/6-[1]!TiesCorrection(D112:D132,E112:E132,1)/48)</f>
        <v>12.544919290294377</v>
      </c>
      <c r="AE125" t="s">
        <v>369</v>
      </c>
    </row>
    <row r="126" spans="3:31" x14ac:dyDescent="0.3">
      <c r="C126" s="2" t="s">
        <v>299</v>
      </c>
      <c r="D126" s="37" cm="1">
        <f t="array" aca="1" ref="D126" ca="1">INDIRECT("'" &amp; C126 &amp; "'!$e$118")</f>
        <v>5</v>
      </c>
      <c r="E126" s="37" cm="1">
        <f t="array" aca="1" ref="E126" ca="1">INDIRECT("'" &amp; C126 &amp; "'!$f$118")</f>
        <v>7</v>
      </c>
      <c r="F126" s="2"/>
      <c r="G126" s="65" t="s">
        <v>312</v>
      </c>
      <c r="H126" s="65">
        <f ca="1">SUM(D112:D132)</f>
        <v>126</v>
      </c>
      <c r="M126" t="s">
        <v>312</v>
      </c>
      <c r="N126" s="65">
        <f ca="1">SUM(E112:E132)</f>
        <v>143</v>
      </c>
      <c r="AC126" t="s">
        <v>370</v>
      </c>
      <c r="AD126" s="74">
        <f ca="1">ABS(ABS(AD121-AD124)-1/2)/AD125</f>
        <v>2.5906902426342642</v>
      </c>
      <c r="AE126" t="s">
        <v>371</v>
      </c>
    </row>
    <row r="127" spans="3:31" x14ac:dyDescent="0.3">
      <c r="C127" s="2" t="s">
        <v>395</v>
      </c>
      <c r="D127" s="37" cm="1">
        <f t="array" aca="1" ref="D127" ca="1">INDIRECT("'" &amp; C127 &amp; "'!$e$118")</f>
        <v>4</v>
      </c>
      <c r="E127" s="37" cm="1">
        <f t="array" aca="1" ref="E127" ca="1">INDIRECT("'" &amp; C127 &amp; "'!$f$118")</f>
        <v>7</v>
      </c>
      <c r="F127" s="2"/>
      <c r="G127" t="s">
        <v>313</v>
      </c>
      <c r="H127">
        <f ca="1">COUNT(D112:D132)</f>
        <v>21</v>
      </c>
      <c r="M127" t="s">
        <v>313</v>
      </c>
      <c r="N127">
        <f ca="1">COUNT(E112:E132)</f>
        <v>21</v>
      </c>
      <c r="AC127" t="s">
        <v>372</v>
      </c>
      <c r="AD127" s="74">
        <f ca="1">AD126/SQRT(AD118)</f>
        <v>0.74786785448591475</v>
      </c>
    </row>
    <row r="128" spans="3:31" x14ac:dyDescent="0.3">
      <c r="C128" s="2" t="s">
        <v>396</v>
      </c>
      <c r="D128" s="37" cm="1">
        <f t="array" aca="1" ref="D128" ca="1">INDIRECT("'" &amp; C128 &amp; "'!$e$118")</f>
        <v>4</v>
      </c>
      <c r="E128" s="37" cm="1">
        <f t="array" aca="1" ref="E128" ca="1">INDIRECT("'" &amp; C128 &amp; "'!$f$118")</f>
        <v>7</v>
      </c>
      <c r="F128" s="2"/>
      <c r="G128" t="s">
        <v>314</v>
      </c>
      <c r="H128">
        <f ca="1">GEOMEAN(D112:D132)</f>
        <v>5.8970778992375257</v>
      </c>
      <c r="M128" t="s">
        <v>314</v>
      </c>
      <c r="N128">
        <f ca="1">GEOMEAN(E112:E132)</f>
        <v>6.797453894603656</v>
      </c>
      <c r="AC128" t="s">
        <v>373</v>
      </c>
      <c r="AD128" s="88">
        <f ca="1">1-_xlfn.NORM.S.DIST(AD126,TRUE)</f>
        <v>4.789183169463751E-3</v>
      </c>
      <c r="AE128" s="104">
        <f ca="1">2*AD128</f>
        <v>9.578366338927502E-3</v>
      </c>
    </row>
    <row r="129" spans="3:31" x14ac:dyDescent="0.3">
      <c r="C129" s="2" t="s">
        <v>397</v>
      </c>
      <c r="D129" s="37" cm="1">
        <f t="array" aca="1" ref="D129" ca="1">INDIRECT("'" &amp; C129 &amp; "'!$e$118")</f>
        <v>7</v>
      </c>
      <c r="E129" s="37" cm="1">
        <f t="array" aca="1" ref="E129" ca="1">INDIRECT("'" &amp; C129 &amp; "'!$f$118")</f>
        <v>7</v>
      </c>
      <c r="F129" s="2"/>
      <c r="G129" t="s">
        <v>315</v>
      </c>
      <c r="H129">
        <f ca="1">HARMEAN(D112:D132)</f>
        <v>5.7874015748031491</v>
      </c>
      <c r="M129" t="s">
        <v>315</v>
      </c>
      <c r="N129">
        <f ca="1">HARMEAN(E112:E132)</f>
        <v>6.7846153846153854</v>
      </c>
      <c r="AC129" t="s">
        <v>374</v>
      </c>
      <c r="AD129" s="74">
        <f ca="1">[1]!SRDIST(AD121,AD118,1)</f>
        <v>3.41796875E-3</v>
      </c>
      <c r="AE129" s="77">
        <f ca="1">2*AD129</f>
        <v>6.8359375E-3</v>
      </c>
    </row>
    <row r="130" spans="3:31" x14ac:dyDescent="0.3">
      <c r="C130" s="2" t="s">
        <v>398</v>
      </c>
      <c r="D130" s="37" cm="1">
        <f t="array" aca="1" ref="D130" ca="1">INDIRECT("'" &amp; C130 &amp; "'!$e$118")</f>
        <v>5</v>
      </c>
      <c r="E130" s="37" cm="1">
        <f t="array" aca="1" ref="E130" ca="1">INDIRECT("'" &amp; C130 &amp; "'!$f$118")</f>
        <v>7</v>
      </c>
      <c r="F130" s="2"/>
      <c r="G130" t="s">
        <v>316</v>
      </c>
      <c r="H130">
        <f ca="1">AVEDEV(D112:D132)</f>
        <v>0.95238095238095233</v>
      </c>
      <c r="M130" t="s">
        <v>316</v>
      </c>
      <c r="N130">
        <f ca="1">AVEDEV(E112:E132)</f>
        <v>0.30839002267573712</v>
      </c>
      <c r="AC130" t="s">
        <v>375</v>
      </c>
      <c r="AD130" s="75" t="s">
        <v>376</v>
      </c>
      <c r="AE130" s="78" t="s">
        <v>376</v>
      </c>
    </row>
    <row r="131" spans="3:31" x14ac:dyDescent="0.3">
      <c r="C131" s="2" t="s">
        <v>399</v>
      </c>
      <c r="D131" s="37" cm="1">
        <f t="array" aca="1" ref="D131" ca="1">INDIRECT("'" &amp; C131 &amp; "'!$e$118")</f>
        <v>7</v>
      </c>
      <c r="E131" s="37" cm="1">
        <f t="array" aca="1" ref="E131" ca="1">INDIRECT("'" &amp; C131 &amp; "'!$f$118")</f>
        <v>7</v>
      </c>
      <c r="F131" s="2"/>
      <c r="G131" t="s">
        <v>317</v>
      </c>
      <c r="H131">
        <f ca="1">[1]!MAD(D112:D132)</f>
        <v>1</v>
      </c>
      <c r="M131" t="s">
        <v>317</v>
      </c>
      <c r="N131">
        <f ca="1">[1]!MAD(E112:E132)</f>
        <v>0</v>
      </c>
    </row>
    <row r="132" spans="3:31" x14ac:dyDescent="0.3">
      <c r="C132" s="2" t="s">
        <v>400</v>
      </c>
      <c r="D132" s="37" cm="1">
        <f t="array" aca="1" ref="D132" ca="1">INDIRECT("'" &amp; C132 &amp; "'!$e$118")</f>
        <v>5</v>
      </c>
      <c r="E132" s="37" cm="1">
        <f t="array" aca="1" ref="E132" ca="1">INDIRECT("'" &amp; C132 &amp; "'!$f$118")</f>
        <v>7</v>
      </c>
      <c r="G132" s="63" t="s">
        <v>318</v>
      </c>
      <c r="H132" s="63">
        <f ca="1">[1]!IQR(D112:D132,FALSE)</f>
        <v>2</v>
      </c>
      <c r="M132" s="63" t="s">
        <v>318</v>
      </c>
      <c r="N132" s="63">
        <f ca="1">[1]!IQR(E112:E132,FALSE)</f>
        <v>0</v>
      </c>
    </row>
    <row r="136" spans="3:31" x14ac:dyDescent="0.3">
      <c r="C136" s="2"/>
      <c r="D136" s="107"/>
      <c r="E136" s="83"/>
      <c r="G136" s="107"/>
      <c r="J136" s="107"/>
    </row>
    <row r="137" spans="3:31" x14ac:dyDescent="0.3">
      <c r="C137" s="2"/>
      <c r="D137" s="2"/>
      <c r="E137" s="2"/>
      <c r="F137" s="2"/>
      <c r="G137" s="37"/>
      <c r="I137" s="2"/>
      <c r="J137" s="37"/>
    </row>
    <row r="138" spans="3:31" x14ac:dyDescent="0.3">
      <c r="C138" s="2"/>
      <c r="D138" s="37"/>
      <c r="E138" s="37"/>
      <c r="F138" s="2"/>
    </row>
    <row r="139" spans="3:31" x14ac:dyDescent="0.3">
      <c r="C139" s="2"/>
      <c r="D139" s="37"/>
      <c r="E139" s="37"/>
      <c r="F139" s="2"/>
    </row>
    <row r="140" spans="3:31" x14ac:dyDescent="0.3">
      <c r="C140" s="2"/>
      <c r="D140" s="37"/>
      <c r="E140" s="37"/>
      <c r="F140" s="2"/>
      <c r="G140" s="79"/>
      <c r="H140" s="79"/>
      <c r="I140" s="79"/>
      <c r="J140" s="79"/>
      <c r="K140" s="79"/>
      <c r="M140" s="79"/>
      <c r="N140" s="79"/>
      <c r="P140" s="79"/>
      <c r="Q140" s="79"/>
    </row>
    <row r="141" spans="3:31" x14ac:dyDescent="0.3">
      <c r="C141" s="2"/>
      <c r="D141" s="37"/>
      <c r="E141" s="37"/>
      <c r="F141" s="2"/>
      <c r="G141" s="65"/>
      <c r="H141" s="65"/>
      <c r="N141" s="65"/>
      <c r="S141" s="79"/>
      <c r="T141" s="79"/>
      <c r="U141" s="79"/>
      <c r="V141" s="79"/>
      <c r="W141" s="79"/>
      <c r="X141" s="79"/>
      <c r="Y141" s="79"/>
      <c r="Z141" s="79"/>
      <c r="AA141" s="79"/>
      <c r="AD141" s="65"/>
      <c r="AE141" s="65"/>
    </row>
    <row r="142" spans="3:31" x14ac:dyDescent="0.3">
      <c r="C142" s="2"/>
      <c r="D142" s="37"/>
      <c r="E142" s="37"/>
      <c r="F142" s="2"/>
      <c r="U142" s="65"/>
    </row>
    <row r="143" spans="3:31" x14ac:dyDescent="0.3">
      <c r="C143" s="2"/>
      <c r="D143" s="37"/>
      <c r="E143" s="37"/>
      <c r="F143" s="2"/>
      <c r="G143" s="65"/>
      <c r="H143" s="65"/>
      <c r="N143" s="65"/>
      <c r="U143" s="65"/>
    </row>
    <row r="144" spans="3:31" x14ac:dyDescent="0.3">
      <c r="C144" s="2"/>
      <c r="D144" s="37"/>
      <c r="E144" s="37"/>
      <c r="F144" s="2"/>
      <c r="J144" s="80"/>
      <c r="K144" s="80"/>
      <c r="Q144" s="80"/>
      <c r="U144" s="65"/>
    </row>
    <row r="145" spans="3:31" x14ac:dyDescent="0.3">
      <c r="C145" s="2"/>
      <c r="D145" s="37"/>
      <c r="E145" s="37"/>
      <c r="F145" s="2"/>
    </row>
    <row r="146" spans="3:31" x14ac:dyDescent="0.3">
      <c r="C146" s="2"/>
      <c r="D146" s="37"/>
      <c r="E146" s="37"/>
      <c r="F146" s="2"/>
    </row>
    <row r="147" spans="3:31" x14ac:dyDescent="0.3">
      <c r="C147" s="2"/>
      <c r="D147" s="37"/>
      <c r="E147" s="37"/>
      <c r="F147" s="2"/>
      <c r="S147" s="79"/>
      <c r="T147" s="79"/>
      <c r="U147" s="79"/>
      <c r="V147" s="79"/>
      <c r="W147" s="79"/>
      <c r="X147" s="79"/>
    </row>
    <row r="148" spans="3:31" x14ac:dyDescent="0.3">
      <c r="C148" s="2"/>
      <c r="D148" s="37"/>
      <c r="E148" s="37"/>
      <c r="F148" s="2"/>
      <c r="X148" s="70"/>
    </row>
    <row r="149" spans="3:31" x14ac:dyDescent="0.3">
      <c r="C149" s="2"/>
      <c r="D149" s="37"/>
      <c r="E149" s="37"/>
      <c r="F149" s="2"/>
      <c r="X149" s="70"/>
      <c r="AD149" s="70"/>
      <c r="AE149" s="70"/>
    </row>
    <row r="150" spans="3:31" x14ac:dyDescent="0.3">
      <c r="C150" s="2"/>
      <c r="D150" s="37"/>
      <c r="E150" s="37"/>
      <c r="F150" s="2"/>
      <c r="G150" s="65"/>
      <c r="H150" s="65"/>
      <c r="N150" s="65"/>
    </row>
    <row r="151" spans="3:31" x14ac:dyDescent="0.3">
      <c r="C151" s="2"/>
      <c r="D151" s="37"/>
      <c r="E151" s="37"/>
      <c r="F151" s="2"/>
      <c r="G151" s="65"/>
      <c r="H151" s="65"/>
      <c r="J151" s="80"/>
      <c r="K151" s="80"/>
      <c r="N151" s="65"/>
      <c r="Q151" s="80"/>
    </row>
    <row r="152" spans="3:31" x14ac:dyDescent="0.3">
      <c r="C152" s="2"/>
      <c r="D152" s="37"/>
      <c r="E152" s="37"/>
      <c r="F152" s="2"/>
      <c r="G152" s="65"/>
      <c r="H152" s="65"/>
      <c r="N152" s="65"/>
    </row>
    <row r="153" spans="3:31" x14ac:dyDescent="0.3">
      <c r="C153" s="2"/>
      <c r="D153" s="37"/>
      <c r="E153" s="37"/>
      <c r="F153" s="2"/>
    </row>
    <row r="154" spans="3:31" x14ac:dyDescent="0.3">
      <c r="C154" s="2"/>
      <c r="D154" s="37"/>
      <c r="E154" s="37"/>
      <c r="F154" s="2"/>
    </row>
    <row r="155" spans="3:31" x14ac:dyDescent="0.3">
      <c r="C155" s="2"/>
      <c r="D155" s="37"/>
      <c r="E155" s="37"/>
      <c r="F155" s="2"/>
    </row>
    <row r="156" spans="3:31" x14ac:dyDescent="0.3">
      <c r="C156" s="2"/>
      <c r="D156" s="37"/>
      <c r="E156" s="37"/>
      <c r="F156" s="2"/>
    </row>
    <row r="157" spans="3:31" x14ac:dyDescent="0.3">
      <c r="C157" s="2"/>
      <c r="D157" s="37"/>
      <c r="E157" s="37"/>
      <c r="F157" s="2"/>
    </row>
    <row r="158" spans="3:31" x14ac:dyDescent="0.3">
      <c r="C158" s="2"/>
      <c r="D158" s="37"/>
      <c r="E158" s="3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B0017-C89D-44AC-B9B5-C9F5EC5AE7C9}">
  <sheetPr>
    <tabColor theme="7" tint="0.59999389629810485"/>
  </sheetPr>
  <dimension ref="C4:M68"/>
  <sheetViews>
    <sheetView showGridLines="0" zoomScale="63" workbookViewId="0">
      <selection activeCell="I23" sqref="I23:M24"/>
    </sheetView>
  </sheetViews>
  <sheetFormatPr defaultRowHeight="14.4" x14ac:dyDescent="0.3"/>
  <cols>
    <col min="3" max="3" width="8.6640625" bestFit="1" customWidth="1"/>
    <col min="4" max="4" width="10.44140625" customWidth="1"/>
    <col min="5" max="5" width="7.77734375" customWidth="1"/>
    <col min="6" max="6" width="14.77734375" customWidth="1"/>
    <col min="9" max="9" width="10" customWidth="1"/>
  </cols>
  <sheetData>
    <row r="4" spans="3:10" x14ac:dyDescent="0.3">
      <c r="C4" s="2"/>
      <c r="D4" s="82" t="s">
        <v>403</v>
      </c>
      <c r="E4" s="83"/>
    </row>
    <row r="5" spans="3:10" x14ac:dyDescent="0.3">
      <c r="C5" s="2"/>
      <c r="D5" s="2" t="s">
        <v>430</v>
      </c>
      <c r="E5" s="2"/>
    </row>
    <row r="6" spans="3:10" x14ac:dyDescent="0.3">
      <c r="C6" s="2" t="s">
        <v>285</v>
      </c>
      <c r="D6" s="37" cm="1">
        <f t="array" aca="1" ref="D6" ca="1">INDIRECT("'" &amp; C6 &amp; "'!$L$126")</f>
        <v>5.333333333333333</v>
      </c>
      <c r="E6" s="37"/>
      <c r="F6" t="s">
        <v>300</v>
      </c>
      <c r="I6" t="s">
        <v>331</v>
      </c>
    </row>
    <row r="7" spans="3:10" x14ac:dyDescent="0.3">
      <c r="C7" s="2" t="s">
        <v>286</v>
      </c>
      <c r="D7" s="37" cm="1">
        <f t="array" aca="1" ref="D7" ca="1">INDIRECT("'" &amp; C7 &amp; "'!$L$126")</f>
        <v>4.333333333333333</v>
      </c>
      <c r="E7" s="37"/>
    </row>
    <row r="8" spans="3:10" x14ac:dyDescent="0.3">
      <c r="C8" s="2" t="s">
        <v>287</v>
      </c>
      <c r="D8" s="37" cm="1">
        <f t="array" aca="1" ref="D8" ca="1">INDIRECT("'" &amp; C8 &amp; "'!$L$126")</f>
        <v>4.333333333333333</v>
      </c>
      <c r="E8" s="37"/>
      <c r="F8" s="64"/>
      <c r="G8" s="64" t="s">
        <v>379</v>
      </c>
      <c r="I8" s="64"/>
      <c r="J8" s="64" t="s">
        <v>379</v>
      </c>
    </row>
    <row r="9" spans="3:10" x14ac:dyDescent="0.3">
      <c r="C9" s="2" t="s">
        <v>288</v>
      </c>
      <c r="D9" s="37" cm="1">
        <f t="array" aca="1" ref="D9" ca="1">INDIRECT("'" &amp; C9 &amp; "'!$L$126")</f>
        <v>5</v>
      </c>
      <c r="E9" s="37"/>
      <c r="F9" t="s">
        <v>301</v>
      </c>
      <c r="G9" s="65">
        <f ca="1">AVERAGE(D6:D26)</f>
        <v>4.8412698412698409</v>
      </c>
      <c r="I9" t="s">
        <v>332</v>
      </c>
      <c r="J9">
        <f ca="1">[1]!SHAPIRO(D6:D26)</f>
        <v>0.94478012294986524</v>
      </c>
    </row>
    <row r="10" spans="3:10" x14ac:dyDescent="0.3">
      <c r="C10" s="2" t="s">
        <v>289</v>
      </c>
      <c r="D10" s="37" cm="1">
        <f t="array" aca="1" ref="D10" ca="1">INDIRECT("'" &amp; C10 &amp; "'!$L$126")</f>
        <v>4.666666666666667</v>
      </c>
      <c r="E10" s="37"/>
      <c r="F10" t="s">
        <v>302</v>
      </c>
      <c r="G10">
        <f ca="1">_xlfn.STDEV.S(D6:D26)/SQRT(COUNT(D6:D26))</f>
        <v>0.10939721231817651</v>
      </c>
      <c r="I10" t="s">
        <v>333</v>
      </c>
      <c r="J10">
        <f ca="1">[1]!SWTEST(D6:D26)</f>
        <v>0.27045282578783647</v>
      </c>
    </row>
    <row r="11" spans="3:10" x14ac:dyDescent="0.3">
      <c r="C11" s="2" t="s">
        <v>290</v>
      </c>
      <c r="D11" s="37" cm="1">
        <f t="array" aca="1" ref="D11" ca="1">INDIRECT("'" &amp; C11 &amp; "'!$L$126")</f>
        <v>4.333333333333333</v>
      </c>
      <c r="E11" s="37"/>
      <c r="F11" t="s">
        <v>303</v>
      </c>
      <c r="G11" s="65">
        <f ca="1">MEDIAN(D6:D26)</f>
        <v>4.666666666666667</v>
      </c>
      <c r="I11" t="s">
        <v>334</v>
      </c>
      <c r="J11">
        <v>0.05</v>
      </c>
    </row>
    <row r="12" spans="3:10" x14ac:dyDescent="0.3">
      <c r="C12" s="2" t="s">
        <v>291</v>
      </c>
      <c r="D12" s="37" cm="1">
        <f t="array" aca="1" ref="D12" ca="1">INDIRECT("'" &amp; C12 &amp; "'!$L$126")</f>
        <v>5.666666666666667</v>
      </c>
      <c r="E12" s="37"/>
      <c r="F12" t="s">
        <v>304</v>
      </c>
      <c r="G12">
        <f ca="1">MODE(D6:D26)</f>
        <v>4.333333333333333</v>
      </c>
      <c r="I12" s="63" t="s">
        <v>335</v>
      </c>
      <c r="J12" s="66" t="str">
        <f ca="1">IF(J10&lt;J11,"no","yes")</f>
        <v>yes</v>
      </c>
    </row>
    <row r="13" spans="3:10" x14ac:dyDescent="0.3">
      <c r="C13" s="2" t="s">
        <v>292</v>
      </c>
      <c r="D13" s="37" cm="1">
        <f t="array" aca="1" ref="D13" ca="1">INDIRECT("'" &amp; C13 &amp; "'!$L$126")</f>
        <v>5.333333333333333</v>
      </c>
      <c r="E13" s="37"/>
      <c r="F13" t="s">
        <v>305</v>
      </c>
      <c r="G13">
        <f ca="1">_xlfn.STDEV.S(D6:D26)</f>
        <v>0.50132100626519926</v>
      </c>
    </row>
    <row r="14" spans="3:10" x14ac:dyDescent="0.3">
      <c r="C14" s="2" t="s">
        <v>293</v>
      </c>
      <c r="D14" s="37" cm="1">
        <f t="array" aca="1" ref="D14" ca="1">INDIRECT("'" &amp; C14 &amp; "'!$L$126")</f>
        <v>5</v>
      </c>
      <c r="E14" s="37"/>
      <c r="F14" t="s">
        <v>306</v>
      </c>
      <c r="G14">
        <f ca="1">_xlfn.VAR.S(D6:D26)</f>
        <v>0.25132275132275195</v>
      </c>
      <c r="I14" t="s">
        <v>336</v>
      </c>
    </row>
    <row r="15" spans="3:10" x14ac:dyDescent="0.3">
      <c r="C15" s="2" t="s">
        <v>294</v>
      </c>
      <c r="D15" s="37" cm="1">
        <f t="array" aca="1" ref="D15" ca="1">INDIRECT("'" &amp; C15 &amp; "'!$L$126")</f>
        <v>5.333333333333333</v>
      </c>
      <c r="E15" s="37"/>
      <c r="F15" t="s">
        <v>307</v>
      </c>
      <c r="G15">
        <f ca="1">KURT(D6:D26)</f>
        <v>3.2821110949159404E-3</v>
      </c>
    </row>
    <row r="16" spans="3:10" x14ac:dyDescent="0.3">
      <c r="C16" s="2" t="s">
        <v>295</v>
      </c>
      <c r="D16" s="37" cm="1">
        <f t="array" aca="1" ref="D16" ca="1">INDIRECT("'" &amp; C16 &amp; "'!$L$126")</f>
        <v>4.666666666666667</v>
      </c>
      <c r="E16" s="37"/>
      <c r="F16" t="s">
        <v>308</v>
      </c>
      <c r="G16">
        <f ca="1">SKEW(D6:D26)</f>
        <v>0.53435922270141878</v>
      </c>
      <c r="I16" s="67" t="s">
        <v>337</v>
      </c>
      <c r="J16" s="67">
        <f ca="1">[1]!DAGOSTINO(D6:D26)</f>
        <v>1.2801018554734069</v>
      </c>
    </row>
    <row r="17" spans="3:13" x14ac:dyDescent="0.3">
      <c r="C17" s="2" t="s">
        <v>296</v>
      </c>
      <c r="D17" s="37" cm="1">
        <f t="array" aca="1" ref="D17" ca="1">INDIRECT("'" &amp; C17 &amp; "'!$L$126")</f>
        <v>4.666666666666667</v>
      </c>
      <c r="E17" s="37"/>
      <c r="F17" t="s">
        <v>309</v>
      </c>
      <c r="G17">
        <f ca="1">G18-G19</f>
        <v>2</v>
      </c>
      <c r="I17" t="s">
        <v>333</v>
      </c>
      <c r="J17">
        <f ca="1">[1]!DPTEST(D6:D26)</f>
        <v>0.52726557091710147</v>
      </c>
    </row>
    <row r="18" spans="3:13" x14ac:dyDescent="0.3">
      <c r="C18" s="2" t="s">
        <v>297</v>
      </c>
      <c r="D18" s="37" cm="1">
        <f t="array" aca="1" ref="D18" ca="1">INDIRECT("'" &amp; C18 &amp; "'!$L$126")</f>
        <v>5</v>
      </c>
      <c r="E18" s="37"/>
      <c r="F18" t="s">
        <v>310</v>
      </c>
      <c r="G18" s="65">
        <f ca="1">MAX(D6:D26)</f>
        <v>6</v>
      </c>
      <c r="I18" t="s">
        <v>334</v>
      </c>
      <c r="J18">
        <v>0.05</v>
      </c>
    </row>
    <row r="19" spans="3:13" x14ac:dyDescent="0.3">
      <c r="C19" s="2" t="s">
        <v>298</v>
      </c>
      <c r="D19" s="37" cm="1">
        <f t="array" aca="1" ref="D19" ca="1">INDIRECT("'" &amp; C19 &amp; "'!$L$126")</f>
        <v>5</v>
      </c>
      <c r="E19" s="37"/>
      <c r="F19" t="s">
        <v>311</v>
      </c>
      <c r="G19" s="65">
        <f ca="1">MIN(D6:D26)</f>
        <v>4</v>
      </c>
      <c r="I19" s="63" t="s">
        <v>335</v>
      </c>
      <c r="J19" s="66" t="str">
        <f ca="1">IF(J17&lt;J18,"no","yes")</f>
        <v>yes</v>
      </c>
    </row>
    <row r="20" spans="3:13" x14ac:dyDescent="0.3">
      <c r="C20" s="2" t="s">
        <v>299</v>
      </c>
      <c r="D20" s="37" cm="1">
        <f t="array" aca="1" ref="D20" ca="1">INDIRECT("'" &amp; C20 &amp; "'!$L$126")</f>
        <v>4</v>
      </c>
      <c r="E20" s="37"/>
      <c r="F20" t="s">
        <v>312</v>
      </c>
      <c r="G20" s="65">
        <f ca="1">SUM(D6:D26)</f>
        <v>101.66666666666666</v>
      </c>
    </row>
    <row r="21" spans="3:13" x14ac:dyDescent="0.3">
      <c r="C21" s="2" t="s">
        <v>395</v>
      </c>
      <c r="D21" s="37" cm="1">
        <f t="array" aca="1" ref="D21" ca="1">INDIRECT("'" &amp; C21 &amp; "'!$L$126")</f>
        <v>4.333333333333333</v>
      </c>
      <c r="E21" s="37"/>
      <c r="F21" t="s">
        <v>313</v>
      </c>
      <c r="G21">
        <f ca="1">COUNT(D6:D26)</f>
        <v>21</v>
      </c>
    </row>
    <row r="22" spans="3:13" x14ac:dyDescent="0.3">
      <c r="C22" s="2" t="s">
        <v>396</v>
      </c>
      <c r="D22" s="37" cm="1">
        <f t="array" aca="1" ref="D22" ca="1">INDIRECT("'" &amp; C22 &amp; "'!$L$126")</f>
        <v>5</v>
      </c>
      <c r="E22" s="37"/>
      <c r="F22" t="s">
        <v>314</v>
      </c>
      <c r="G22">
        <f ca="1">GEOMEAN(D6:D26)</f>
        <v>4.8171161637489606</v>
      </c>
    </row>
    <row r="23" spans="3:13" ht="15" thickBot="1" x14ac:dyDescent="0.35">
      <c r="C23" s="2" t="s">
        <v>397</v>
      </c>
      <c r="D23" s="37" cm="1">
        <f t="array" aca="1" ref="D23" ca="1">INDIRECT("'" &amp; C23 &amp; "'!$L$126")</f>
        <v>6</v>
      </c>
      <c r="E23" s="37"/>
      <c r="F23" t="s">
        <v>315</v>
      </c>
      <c r="G23">
        <f ca="1">HARMEAN(D6:D26)</f>
        <v>4.7935224663320097</v>
      </c>
      <c r="I23" s="150"/>
      <c r="J23" s="150" t="s">
        <v>301</v>
      </c>
      <c r="K23" s="151" t="s">
        <v>343</v>
      </c>
      <c r="L23" s="152" t="s">
        <v>333</v>
      </c>
      <c r="M23" s="152" t="s">
        <v>348</v>
      </c>
    </row>
    <row r="24" spans="3:13" ht="15" thickBot="1" x14ac:dyDescent="0.35">
      <c r="C24" s="2" t="s">
        <v>398</v>
      </c>
      <c r="D24" s="37" cm="1">
        <f t="array" aca="1" ref="D24" ca="1">INDIRECT("'" &amp; C24 &amp; "'!$L$126")</f>
        <v>4.666666666666667</v>
      </c>
      <c r="E24" s="37"/>
      <c r="F24" t="s">
        <v>316</v>
      </c>
      <c r="G24">
        <f ca="1">AVEDEV(D6:D26)</f>
        <v>0.40513983371126222</v>
      </c>
      <c r="I24" s="150" t="s">
        <v>434</v>
      </c>
      <c r="J24" s="153">
        <v>4.8412698412698409</v>
      </c>
      <c r="K24" s="151">
        <v>0.50132100626519926</v>
      </c>
      <c r="L24" s="150"/>
      <c r="M24" s="150"/>
    </row>
    <row r="25" spans="3:13" ht="15" thickBot="1" x14ac:dyDescent="0.35">
      <c r="C25" s="2" t="s">
        <v>399</v>
      </c>
      <c r="D25" s="37" cm="1">
        <f t="array" aca="1" ref="D25" ca="1">INDIRECT("'" &amp; C25 &amp; "'!$L$126")</f>
        <v>4.333333333333333</v>
      </c>
      <c r="E25" s="37"/>
      <c r="F25" t="s">
        <v>317</v>
      </c>
      <c r="G25">
        <f ca="1">[1]!MAD(D6:D26)</f>
        <v>0.33333333333333393</v>
      </c>
      <c r="I25" s="150" t="s">
        <v>432</v>
      </c>
      <c r="J25" s="153">
        <v>5.29</v>
      </c>
      <c r="K25" s="151">
        <v>1.2529330000000001</v>
      </c>
      <c r="L25" s="150"/>
      <c r="M25" s="150"/>
    </row>
    <row r="26" spans="3:13" x14ac:dyDescent="0.3">
      <c r="C26" s="2" t="s">
        <v>400</v>
      </c>
      <c r="D26" s="37" cm="1">
        <f t="array" aca="1" ref="D26" ca="1">INDIRECT("'" &amp; C26 &amp; "'!$L$126")</f>
        <v>4.666666666666667</v>
      </c>
      <c r="E26" s="37"/>
      <c r="F26" s="63" t="s">
        <v>318</v>
      </c>
      <c r="G26" s="63">
        <f ca="1">[1]!IQR(D6:D26,FALSE)</f>
        <v>0.66666666666666696</v>
      </c>
    </row>
    <row r="30" spans="3:13" x14ac:dyDescent="0.3">
      <c r="D30" s="84" t="s">
        <v>155</v>
      </c>
      <c r="G30" s="84" t="s">
        <v>157</v>
      </c>
      <c r="J30" s="84" t="s">
        <v>159</v>
      </c>
    </row>
    <row r="31" spans="3:13" x14ac:dyDescent="0.3">
      <c r="C31" s="2" t="s">
        <v>285</v>
      </c>
      <c r="D31" s="37" cm="1">
        <f t="array" aca="1" ref="D31" ca="1">INDIRECT("'" &amp; C31 &amp; "'!$E$126")</f>
        <v>2</v>
      </c>
      <c r="F31" s="2" t="s">
        <v>285</v>
      </c>
      <c r="G31" s="37" cm="1">
        <f t="array" aca="1" ref="G31" ca="1">INDIRECT("'" &amp; F31 &amp; "'!$E$127")</f>
        <v>1</v>
      </c>
      <c r="I31" s="2" t="s">
        <v>285</v>
      </c>
      <c r="J31" s="37" cm="1">
        <f t="array" aca="1" ref="J31" ca="1">INDIRECT("'" &amp; I31 &amp; "'!$E$128")</f>
        <v>7</v>
      </c>
    </row>
    <row r="32" spans="3:13" x14ac:dyDescent="0.3">
      <c r="C32" s="2" t="s">
        <v>286</v>
      </c>
      <c r="D32" s="37" cm="1">
        <f t="array" aca="1" ref="D32" ca="1">INDIRECT("'" &amp; C32 &amp; "'!$E$126")</f>
        <v>2</v>
      </c>
      <c r="F32" s="2" t="s">
        <v>286</v>
      </c>
      <c r="G32" s="37" cm="1">
        <f t="array" aca="1" ref="G32" ca="1">INDIRECT("'" &amp; F32 &amp; "'!$E$127")</f>
        <v>3</v>
      </c>
      <c r="I32" s="2" t="s">
        <v>286</v>
      </c>
      <c r="J32" s="37" cm="1">
        <f t="array" aca="1" ref="J32" ca="1">INDIRECT("'" &amp; I32 &amp; "'!$E$128")</f>
        <v>6</v>
      </c>
    </row>
    <row r="33" spans="3:10" x14ac:dyDescent="0.3">
      <c r="C33" s="2" t="s">
        <v>287</v>
      </c>
      <c r="D33" s="37" cm="1">
        <f t="array" aca="1" ref="D33" ca="1">INDIRECT("'" &amp; C33 &amp; "'!$E$126")</f>
        <v>1</v>
      </c>
      <c r="F33" s="2" t="s">
        <v>287</v>
      </c>
      <c r="G33" s="37" cm="1">
        <f t="array" aca="1" ref="G33" ca="1">INDIRECT("'" &amp; F33 &amp; "'!$E$127")</f>
        <v>1</v>
      </c>
      <c r="I33" s="2" t="s">
        <v>287</v>
      </c>
      <c r="J33" s="37" cm="1">
        <f t="array" aca="1" ref="J33" ca="1">INDIRECT("'" &amp; I33 &amp; "'!$E$128")</f>
        <v>5</v>
      </c>
    </row>
    <row r="34" spans="3:10" x14ac:dyDescent="0.3">
      <c r="C34" s="2" t="s">
        <v>288</v>
      </c>
      <c r="D34" s="37" cm="1">
        <f t="array" aca="1" ref="D34" ca="1">INDIRECT("'" &amp; C34 &amp; "'!$E$126")</f>
        <v>1</v>
      </c>
      <c r="F34" s="2" t="s">
        <v>288</v>
      </c>
      <c r="G34" s="37" cm="1">
        <f t="array" aca="1" ref="G34" ca="1">INDIRECT("'" &amp; F34 &amp; "'!$E$127")</f>
        <v>1</v>
      </c>
      <c r="I34" s="2" t="s">
        <v>288</v>
      </c>
      <c r="J34" s="37" cm="1">
        <f t="array" aca="1" ref="J34" ca="1">INDIRECT("'" &amp; I34 &amp; "'!$E$128")</f>
        <v>7</v>
      </c>
    </row>
    <row r="35" spans="3:10" x14ac:dyDescent="0.3">
      <c r="C35" s="2" t="s">
        <v>289</v>
      </c>
      <c r="D35" s="37" cm="1">
        <f t="array" aca="1" ref="D35" ca="1">INDIRECT("'" &amp; C35 &amp; "'!$E$126")</f>
        <v>1</v>
      </c>
      <c r="F35" s="2" t="s">
        <v>289</v>
      </c>
      <c r="G35" s="37" cm="1">
        <f t="array" aca="1" ref="G35" ca="1">INDIRECT("'" &amp; F35 &amp; "'!$E$127")</f>
        <v>1</v>
      </c>
      <c r="I35" s="2" t="s">
        <v>289</v>
      </c>
      <c r="J35" s="37" cm="1">
        <f t="array" aca="1" ref="J35" ca="1">INDIRECT("'" &amp; I35 &amp; "'!$E$128")</f>
        <v>6</v>
      </c>
    </row>
    <row r="36" spans="3:10" x14ac:dyDescent="0.3">
      <c r="C36" s="2" t="s">
        <v>290</v>
      </c>
      <c r="D36" s="37" cm="1">
        <f t="array" aca="1" ref="D36" ca="1">INDIRECT("'" &amp; C36 &amp; "'!$E$126")</f>
        <v>2</v>
      </c>
      <c r="F36" s="2" t="s">
        <v>290</v>
      </c>
      <c r="G36" s="37" cm="1">
        <f t="array" aca="1" ref="G36" ca="1">INDIRECT("'" &amp; F36 &amp; "'!$E$127")</f>
        <v>2</v>
      </c>
      <c r="I36" s="2" t="s">
        <v>290</v>
      </c>
      <c r="J36" s="37" cm="1">
        <f t="array" aca="1" ref="J36" ca="1">INDIRECT("'" &amp; I36 &amp; "'!$E$128")</f>
        <v>5</v>
      </c>
    </row>
    <row r="37" spans="3:10" x14ac:dyDescent="0.3">
      <c r="C37" s="2" t="s">
        <v>291</v>
      </c>
      <c r="D37" s="37" cm="1">
        <f t="array" aca="1" ref="D37" ca="1">INDIRECT("'" &amp; C37 &amp; "'!$E$126")</f>
        <v>3</v>
      </c>
      <c r="F37" s="2" t="s">
        <v>291</v>
      </c>
      <c r="G37" s="37" cm="1">
        <f t="array" aca="1" ref="G37" ca="1">INDIRECT("'" &amp; F37 &amp; "'!$E$127")</f>
        <v>1</v>
      </c>
      <c r="I37" s="2" t="s">
        <v>291</v>
      </c>
      <c r="J37" s="37" cm="1">
        <f t="array" aca="1" ref="J37" ca="1">INDIRECT("'" &amp; I37 &amp; "'!$E$128")</f>
        <v>7</v>
      </c>
    </row>
    <row r="38" spans="3:10" x14ac:dyDescent="0.3">
      <c r="C38" s="2" t="s">
        <v>292</v>
      </c>
      <c r="D38" s="37" cm="1">
        <f t="array" aca="1" ref="D38" ca="1">INDIRECT("'" &amp; C38 &amp; "'!$E$126")</f>
        <v>2</v>
      </c>
      <c r="F38" s="2" t="s">
        <v>292</v>
      </c>
      <c r="G38" s="37" cm="1">
        <f t="array" aca="1" ref="G38" ca="1">INDIRECT("'" &amp; F38 &amp; "'!$E$127")</f>
        <v>1</v>
      </c>
      <c r="I38" s="2" t="s">
        <v>292</v>
      </c>
      <c r="J38" s="37" cm="1">
        <f t="array" aca="1" ref="J38" ca="1">INDIRECT("'" &amp; I38 &amp; "'!$E$128")</f>
        <v>7</v>
      </c>
    </row>
    <row r="39" spans="3:10" x14ac:dyDescent="0.3">
      <c r="C39" s="2" t="s">
        <v>293</v>
      </c>
      <c r="D39" s="37" cm="1">
        <f t="array" aca="1" ref="D39" ca="1">INDIRECT("'" &amp; C39 &amp; "'!$E$126")</f>
        <v>1</v>
      </c>
      <c r="F39" s="2" t="s">
        <v>293</v>
      </c>
      <c r="G39" s="37" cm="1">
        <f t="array" aca="1" ref="G39" ca="1">INDIRECT("'" &amp; F39 &amp; "'!$E$127")</f>
        <v>1</v>
      </c>
      <c r="I39" s="2" t="s">
        <v>293</v>
      </c>
      <c r="J39" s="37" cm="1">
        <f t="array" aca="1" ref="J39" ca="1">INDIRECT("'" &amp; I39 &amp; "'!$E$128")</f>
        <v>7</v>
      </c>
    </row>
    <row r="40" spans="3:10" x14ac:dyDescent="0.3">
      <c r="C40" s="2" t="s">
        <v>294</v>
      </c>
      <c r="D40" s="37" cm="1">
        <f t="array" aca="1" ref="D40" ca="1">INDIRECT("'" &amp; C40 &amp; "'!$E$126")</f>
        <v>3</v>
      </c>
      <c r="F40" s="2" t="s">
        <v>294</v>
      </c>
      <c r="G40" s="37" cm="1">
        <f t="array" aca="1" ref="G40" ca="1">INDIRECT("'" &amp; F40 &amp; "'!$E$127")</f>
        <v>1</v>
      </c>
      <c r="I40" s="2" t="s">
        <v>294</v>
      </c>
      <c r="J40" s="37" cm="1">
        <f t="array" aca="1" ref="J40" ca="1">INDIRECT("'" &amp; I40 &amp; "'!$E$128")</f>
        <v>6</v>
      </c>
    </row>
    <row r="41" spans="3:10" x14ac:dyDescent="0.3">
      <c r="C41" s="2" t="s">
        <v>295</v>
      </c>
      <c r="D41" s="37" cm="1">
        <f t="array" aca="1" ref="D41" ca="1">INDIRECT("'" &amp; C41 &amp; "'!$E$126")</f>
        <v>1</v>
      </c>
      <c r="F41" s="2" t="s">
        <v>295</v>
      </c>
      <c r="G41" s="37" cm="1">
        <f t="array" aca="1" ref="G41" ca="1">INDIRECT("'" &amp; F41 &amp; "'!$E$127")</f>
        <v>2</v>
      </c>
      <c r="I41" s="2" t="s">
        <v>295</v>
      </c>
      <c r="J41" s="37" cm="1">
        <f t="array" aca="1" ref="J41" ca="1">INDIRECT("'" &amp; I41 &amp; "'!$E$128")</f>
        <v>7</v>
      </c>
    </row>
    <row r="42" spans="3:10" x14ac:dyDescent="0.3">
      <c r="C42" s="2" t="s">
        <v>296</v>
      </c>
      <c r="D42" s="37" cm="1">
        <f t="array" aca="1" ref="D42" ca="1">INDIRECT("'" &amp; C42 &amp; "'!$E$126")</f>
        <v>2</v>
      </c>
      <c r="F42" s="2" t="s">
        <v>296</v>
      </c>
      <c r="G42" s="37" cm="1">
        <f t="array" aca="1" ref="G42" ca="1">INDIRECT("'" &amp; F42 &amp; "'!$E$127")</f>
        <v>1</v>
      </c>
      <c r="I42" s="2" t="s">
        <v>296</v>
      </c>
      <c r="J42" s="37" cm="1">
        <f t="array" aca="1" ref="J42" ca="1">INDIRECT("'" &amp; I42 &amp; "'!$E$128")</f>
        <v>5</v>
      </c>
    </row>
    <row r="43" spans="3:10" x14ac:dyDescent="0.3">
      <c r="C43" s="2" t="s">
        <v>297</v>
      </c>
      <c r="D43" s="37" cm="1">
        <f t="array" aca="1" ref="D43" ca="1">INDIRECT("'" &amp; C43 &amp; "'!$E$126")</f>
        <v>2</v>
      </c>
      <c r="F43" s="2" t="s">
        <v>297</v>
      </c>
      <c r="G43" s="37" cm="1">
        <f t="array" aca="1" ref="G43" ca="1">INDIRECT("'" &amp; F43 &amp; "'!$E$127")</f>
        <v>1</v>
      </c>
      <c r="I43" s="2" t="s">
        <v>297</v>
      </c>
      <c r="J43" s="37" cm="1">
        <f t="array" aca="1" ref="J43" ca="1">INDIRECT("'" &amp; I43 &amp; "'!$E$128")</f>
        <v>6</v>
      </c>
    </row>
    <row r="44" spans="3:10" x14ac:dyDescent="0.3">
      <c r="C44" s="2" t="s">
        <v>298</v>
      </c>
      <c r="D44" s="37" cm="1">
        <f t="array" aca="1" ref="D44" ca="1">INDIRECT("'" &amp; C44 &amp; "'!$E$126")</f>
        <v>2</v>
      </c>
      <c r="F44" s="2" t="s">
        <v>298</v>
      </c>
      <c r="G44" s="37" cm="1">
        <f t="array" aca="1" ref="G44" ca="1">INDIRECT("'" &amp; F44 &amp; "'!$E$127")</f>
        <v>1</v>
      </c>
      <c r="I44" s="2" t="s">
        <v>298</v>
      </c>
      <c r="J44" s="37" cm="1">
        <f t="array" aca="1" ref="J44" ca="1">INDIRECT("'" &amp; I44 &amp; "'!$E$128")</f>
        <v>6</v>
      </c>
    </row>
    <row r="45" spans="3:10" x14ac:dyDescent="0.3">
      <c r="C45" s="2" t="s">
        <v>299</v>
      </c>
      <c r="D45" s="37" cm="1">
        <f t="array" aca="1" ref="D45" ca="1">INDIRECT("'" &amp; C45 &amp; "'!$E$126")</f>
        <v>1</v>
      </c>
      <c r="F45" s="2" t="s">
        <v>299</v>
      </c>
      <c r="G45" s="37" cm="1">
        <f t="array" aca="1" ref="G45" ca="1">INDIRECT("'" &amp; F45 &amp; "'!$E$127")</f>
        <v>1</v>
      </c>
      <c r="I45" s="2" t="s">
        <v>299</v>
      </c>
      <c r="J45" s="37" cm="1">
        <f t="array" aca="1" ref="J45" ca="1">INDIRECT("'" &amp; I45 &amp; "'!$E$128")</f>
        <v>4</v>
      </c>
    </row>
    <row r="46" spans="3:10" x14ac:dyDescent="0.3">
      <c r="C46" s="2" t="s">
        <v>395</v>
      </c>
      <c r="D46" s="37" cm="1">
        <f t="array" aca="1" ref="D46" ca="1">INDIRECT("'" &amp; C46 &amp; "'!$E$126")</f>
        <v>4</v>
      </c>
      <c r="F46" s="2" t="s">
        <v>395</v>
      </c>
      <c r="G46" s="37" cm="1">
        <f t="array" aca="1" ref="G46" ca="1">INDIRECT("'" &amp; F46 &amp; "'!$E$127")</f>
        <v>1</v>
      </c>
      <c r="I46" s="2" t="s">
        <v>395</v>
      </c>
      <c r="J46" s="37" cm="1">
        <f t="array" aca="1" ref="J46" ca="1">INDIRECT("'" &amp; I46 &amp; "'!$E$128")</f>
        <v>2</v>
      </c>
    </row>
    <row r="47" spans="3:10" x14ac:dyDescent="0.3">
      <c r="C47" s="2" t="s">
        <v>396</v>
      </c>
      <c r="D47" s="37" cm="1">
        <f t="array" aca="1" ref="D47" ca="1">INDIRECT("'" &amp; C47 &amp; "'!$E$126")</f>
        <v>2</v>
      </c>
      <c r="F47" s="2" t="s">
        <v>396</v>
      </c>
      <c r="G47" s="37" cm="1">
        <f t="array" aca="1" ref="G47" ca="1">INDIRECT("'" &amp; F47 &amp; "'!$E$127")</f>
        <v>2</v>
      </c>
      <c r="I47" s="2" t="s">
        <v>396</v>
      </c>
      <c r="J47" s="37" cm="1">
        <f t="array" aca="1" ref="J47" ca="1">INDIRECT("'" &amp; I47 &amp; "'!$E$128")</f>
        <v>7</v>
      </c>
    </row>
    <row r="48" spans="3:10" x14ac:dyDescent="0.3">
      <c r="C48" s="2" t="s">
        <v>397</v>
      </c>
      <c r="D48" s="37" cm="1">
        <f t="array" aca="1" ref="D48" ca="1">INDIRECT("'" &amp; C48 &amp; "'!$E$126")</f>
        <v>6</v>
      </c>
      <c r="F48" s="2" t="s">
        <v>397</v>
      </c>
      <c r="G48" s="37" cm="1">
        <f t="array" aca="1" ref="G48" ca="1">INDIRECT("'" &amp; F48 &amp; "'!$E$127")</f>
        <v>2</v>
      </c>
      <c r="I48" s="2" t="s">
        <v>397</v>
      </c>
      <c r="J48" s="37" cm="1">
        <f t="array" aca="1" ref="J48" ca="1">INDIRECT("'" &amp; I48 &amp; "'!$E$128")</f>
        <v>6</v>
      </c>
    </row>
    <row r="49" spans="3:10" x14ac:dyDescent="0.3">
      <c r="C49" s="2" t="s">
        <v>398</v>
      </c>
      <c r="D49" s="37" cm="1">
        <f t="array" aca="1" ref="D49" ca="1">INDIRECT("'" &amp; C49 &amp; "'!$E$126")</f>
        <v>1</v>
      </c>
      <c r="F49" s="2" t="s">
        <v>398</v>
      </c>
      <c r="G49" s="37" cm="1">
        <f t="array" aca="1" ref="G49" ca="1">INDIRECT("'" &amp; F49 &amp; "'!$E$127")</f>
        <v>1</v>
      </c>
      <c r="I49" s="2" t="s">
        <v>398</v>
      </c>
      <c r="J49" s="37" cm="1">
        <f t="array" aca="1" ref="J49" ca="1">INDIRECT("'" &amp; I49 &amp; "'!$E$128")</f>
        <v>6</v>
      </c>
    </row>
    <row r="50" spans="3:10" x14ac:dyDescent="0.3">
      <c r="C50" s="2" t="s">
        <v>399</v>
      </c>
      <c r="D50" s="37" cm="1">
        <f t="array" aca="1" ref="D50" ca="1">INDIRECT("'" &amp; C50 &amp; "'!$E$126")</f>
        <v>1</v>
      </c>
      <c r="F50" s="2" t="s">
        <v>399</v>
      </c>
      <c r="G50" s="37" cm="1">
        <f t="array" aca="1" ref="G50" ca="1">INDIRECT("'" &amp; F50 &amp; "'!$E$127")</f>
        <v>1</v>
      </c>
      <c r="I50" s="2" t="s">
        <v>399</v>
      </c>
      <c r="J50" s="37" cm="1">
        <f t="array" aca="1" ref="J50" ca="1">INDIRECT("'" &amp; I50 &amp; "'!$E$128")</f>
        <v>5</v>
      </c>
    </row>
    <row r="51" spans="3:10" x14ac:dyDescent="0.3">
      <c r="C51" s="2" t="s">
        <v>400</v>
      </c>
      <c r="D51" s="37" cm="1">
        <f t="array" aca="1" ref="D51" ca="1">INDIRECT("'" &amp; C51 &amp; "'!$E$126")</f>
        <v>2</v>
      </c>
      <c r="F51" s="2" t="s">
        <v>400</v>
      </c>
      <c r="G51" s="37" cm="1">
        <f t="array" aca="1" ref="G51" ca="1">INDIRECT("'" &amp; F51 &amp; "'!$E$127")</f>
        <v>1</v>
      </c>
      <c r="I51" s="2" t="s">
        <v>400</v>
      </c>
      <c r="J51" s="37" cm="1">
        <f t="array" aca="1" ref="J51" ca="1">INDIRECT("'" &amp; I51 &amp; "'!$E$128")</f>
        <v>5</v>
      </c>
    </row>
    <row r="56" spans="3:10" x14ac:dyDescent="0.3">
      <c r="C56" s="79"/>
      <c r="D56" s="79"/>
      <c r="F56" s="79"/>
      <c r="G56" s="79"/>
    </row>
    <row r="57" spans="3:10" x14ac:dyDescent="0.3">
      <c r="D57" s="65"/>
    </row>
    <row r="59" spans="3:10" x14ac:dyDescent="0.3">
      <c r="D59" s="65"/>
    </row>
    <row r="60" spans="3:10" x14ac:dyDescent="0.3">
      <c r="G60" s="80"/>
    </row>
    <row r="65" spans="4:7" x14ac:dyDescent="0.3">
      <c r="D65" s="65"/>
    </row>
    <row r="66" spans="4:7" x14ac:dyDescent="0.3">
      <c r="D66" s="65"/>
    </row>
    <row r="67" spans="4:7" x14ac:dyDescent="0.3">
      <c r="D67" s="65"/>
      <c r="G67" s="80"/>
    </row>
    <row r="68" spans="4:7" x14ac:dyDescent="0.3">
      <c r="D68" s="6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491C-2F59-4DCF-A843-8A9CBAE10982}">
  <sheetPr>
    <tabColor theme="7" tint="0.59999389629810485"/>
  </sheetPr>
  <dimension ref="C4:AE158"/>
  <sheetViews>
    <sheetView zoomScale="70" zoomScaleNormal="70" workbookViewId="0">
      <selection activeCell="AE23" sqref="AE23"/>
    </sheetView>
  </sheetViews>
  <sheetFormatPr defaultRowHeight="14.4" x14ac:dyDescent="0.3"/>
  <cols>
    <col min="3" max="3" width="8.6640625" bestFit="1" customWidth="1"/>
    <col min="4" max="4" width="9.33203125" customWidth="1"/>
    <col min="5" max="5" width="7.77734375" customWidth="1"/>
  </cols>
  <sheetData>
    <row r="4" spans="3:31" x14ac:dyDescent="0.3">
      <c r="C4" s="2"/>
      <c r="D4" s="84" t="s">
        <v>161</v>
      </c>
      <c r="E4" s="83"/>
    </row>
    <row r="5" spans="3:31" x14ac:dyDescent="0.3">
      <c r="C5" s="2"/>
      <c r="D5" s="2"/>
      <c r="E5" s="2"/>
    </row>
    <row r="6" spans="3:31" x14ac:dyDescent="0.3">
      <c r="C6" s="2" t="s">
        <v>285</v>
      </c>
      <c r="D6" s="37" cm="1">
        <f t="array" aca="1" ref="D6" ca="1">INDIRECT("'" &amp; C6 &amp; "'!$L$136")</f>
        <v>4.5</v>
      </c>
      <c r="E6" s="37" cm="1">
        <f t="array" aca="1" ref="E6" ca="1">INDIRECT("'" &amp; C6 &amp; "'!$M$136")</f>
        <v>4.5</v>
      </c>
      <c r="G6" t="s">
        <v>300</v>
      </c>
      <c r="J6" t="s">
        <v>331</v>
      </c>
      <c r="M6" t="s">
        <v>300</v>
      </c>
      <c r="P6" t="s">
        <v>331</v>
      </c>
      <c r="S6" t="s">
        <v>338</v>
      </c>
      <c r="AC6" t="s">
        <v>358</v>
      </c>
    </row>
    <row r="7" spans="3:31" x14ac:dyDescent="0.3">
      <c r="C7" s="2" t="s">
        <v>286</v>
      </c>
      <c r="D7" s="37" cm="1">
        <f t="array" aca="1" ref="D7" ca="1">INDIRECT("'" &amp; C7 &amp; "'!$L$136")</f>
        <v>3</v>
      </c>
      <c r="E7" s="37" cm="1">
        <f t="array" aca="1" ref="E7" ca="1">INDIRECT("'" &amp; C7 &amp; "'!$M$136")</f>
        <v>2.5</v>
      </c>
    </row>
    <row r="8" spans="3:31" ht="15" thickBot="1" x14ac:dyDescent="0.35">
      <c r="C8" s="2" t="s">
        <v>287</v>
      </c>
      <c r="D8" s="37" cm="1">
        <f t="array" aca="1" ref="D8" ca="1">INDIRECT("'" &amp; C8 &amp; "'!$L$136")</f>
        <v>6.5</v>
      </c>
      <c r="E8" s="37" cm="1">
        <f t="array" aca="1" ref="E8" ca="1">INDIRECT("'" &amp; C8 &amp; "'!$M$136")</f>
        <v>5.5</v>
      </c>
      <c r="F8" s="79"/>
      <c r="G8" s="64"/>
      <c r="H8" s="64" t="s">
        <v>379</v>
      </c>
      <c r="I8" s="79"/>
      <c r="J8" s="64"/>
      <c r="K8" s="64" t="s">
        <v>379</v>
      </c>
      <c r="M8" s="64"/>
      <c r="N8" s="64" t="s">
        <v>379</v>
      </c>
      <c r="P8" s="64"/>
      <c r="Q8" s="64" t="s">
        <v>379</v>
      </c>
      <c r="S8" t="s">
        <v>339</v>
      </c>
      <c r="V8" t="s">
        <v>340</v>
      </c>
      <c r="W8">
        <v>0.05</v>
      </c>
      <c r="Y8" t="s">
        <v>341</v>
      </c>
      <c r="Z8">
        <v>0</v>
      </c>
      <c r="AD8" t="s">
        <v>381</v>
      </c>
      <c r="AE8" t="s">
        <v>382</v>
      </c>
    </row>
    <row r="9" spans="3:31" ht="15" thickTop="1" x14ac:dyDescent="0.3">
      <c r="C9" s="2" t="s">
        <v>288</v>
      </c>
      <c r="D9" s="37" cm="1">
        <f t="array" aca="1" ref="D9" ca="1">INDIRECT("'" &amp; C9 &amp; "'!$L$136")</f>
        <v>3.5</v>
      </c>
      <c r="E9" s="37" cm="1">
        <f t="array" aca="1" ref="E9" ca="1">INDIRECT("'" &amp; C9 &amp; "'!$M$136")</f>
        <v>4</v>
      </c>
      <c r="G9" s="65" t="s">
        <v>301</v>
      </c>
      <c r="H9" s="65">
        <f ca="1">AVERAGE(D6:D26)</f>
        <v>5.2619047619047619</v>
      </c>
      <c r="J9" t="s">
        <v>332</v>
      </c>
      <c r="K9">
        <f ca="1">[1]!SHAPIRO(D6:D26)</f>
        <v>0.9255985570212244</v>
      </c>
      <c r="M9" t="s">
        <v>301</v>
      </c>
      <c r="N9" s="65">
        <f ca="1">AVERAGE(E6:E26)</f>
        <v>5.2142857142857144</v>
      </c>
      <c r="P9" t="s">
        <v>332</v>
      </c>
      <c r="Q9">
        <f ca="1">[1]!SHAPIRO(E6:E26)</f>
        <v>0.92033313123587779</v>
      </c>
      <c r="S9" s="68" t="s">
        <v>342</v>
      </c>
      <c r="T9" s="68" t="s">
        <v>313</v>
      </c>
      <c r="U9" s="68" t="s">
        <v>301</v>
      </c>
      <c r="V9" s="68" t="s">
        <v>343</v>
      </c>
      <c r="W9" s="68" t="s">
        <v>344</v>
      </c>
      <c r="X9" s="68" t="s">
        <v>345</v>
      </c>
      <c r="Y9" s="68" t="s">
        <v>346</v>
      </c>
      <c r="Z9" s="68" t="s">
        <v>347</v>
      </c>
      <c r="AA9" s="68" t="s">
        <v>348</v>
      </c>
      <c r="AC9" t="s">
        <v>359</v>
      </c>
      <c r="AD9" s="102">
        <f ca="1">MEDIAN(D6:D26)</f>
        <v>5</v>
      </c>
      <c r="AE9" s="103">
        <f ca="1">MEDIAN(E6:E26)</f>
        <v>5.5</v>
      </c>
    </row>
    <row r="10" spans="3:31" x14ac:dyDescent="0.3">
      <c r="C10" s="2" t="s">
        <v>289</v>
      </c>
      <c r="D10" s="37" cm="1">
        <f t="array" aca="1" ref="D10" ca="1">INDIRECT("'" &amp; C10 &amp; "'!$L$136")</f>
        <v>7</v>
      </c>
      <c r="E10" s="37" cm="1">
        <f t="array" aca="1" ref="E10" ca="1">INDIRECT("'" &amp; C10 &amp; "'!$M$136")</f>
        <v>6.5</v>
      </c>
      <c r="G10" t="s">
        <v>302</v>
      </c>
      <c r="H10">
        <f ca="1">_xlfn.STDEV.S(D6:D26)/SQRT(COUNT(D6:D26))</f>
        <v>0.3000377905147309</v>
      </c>
      <c r="J10" t="s">
        <v>333</v>
      </c>
      <c r="K10">
        <f ca="1">[1]!SWTEST(D6:D26)</f>
        <v>0.1123340831241294</v>
      </c>
      <c r="M10" t="s">
        <v>302</v>
      </c>
      <c r="N10">
        <f ca="1">_xlfn.STDEV.S(E6:E26)/SQRT(COUNT(E6:E26))</f>
        <v>0.31917197292262339</v>
      </c>
      <c r="P10" t="s">
        <v>333</v>
      </c>
      <c r="Q10">
        <f ca="1">[1]!SWTEST(E6:E26)</f>
        <v>8.8116222071835226E-2</v>
      </c>
      <c r="S10" t="s">
        <v>379</v>
      </c>
      <c r="T10">
        <f ca="1">COUNT(D6:D26)</f>
        <v>21</v>
      </c>
      <c r="U10" s="65">
        <f ca="1">AVERAGE(D6:D26)</f>
        <v>5.2619047619047619</v>
      </c>
      <c r="V10">
        <f ca="1">_xlfn.STDEV.S(D6:D26)</f>
        <v>1.3749458863810577</v>
      </c>
    </row>
    <row r="11" spans="3:31" x14ac:dyDescent="0.3">
      <c r="C11" s="2" t="s">
        <v>290</v>
      </c>
      <c r="D11" s="37" cm="1">
        <f t="array" aca="1" ref="D11" ca="1">INDIRECT("'" &amp; C11 &amp; "'!$L$136")</f>
        <v>5</v>
      </c>
      <c r="E11" s="37" cm="1">
        <f t="array" aca="1" ref="E11" ca="1">INDIRECT("'" &amp; C11 &amp; "'!$M$136")</f>
        <v>5</v>
      </c>
      <c r="G11" s="65" t="s">
        <v>303</v>
      </c>
      <c r="H11" s="65">
        <f ca="1">MEDIAN(D6:D26)</f>
        <v>5</v>
      </c>
      <c r="J11" t="s">
        <v>334</v>
      </c>
      <c r="K11">
        <v>0.05</v>
      </c>
      <c r="M11" t="s">
        <v>303</v>
      </c>
      <c r="N11" s="65">
        <f ca="1">MEDIAN(E6:E26)</f>
        <v>5.5</v>
      </c>
      <c r="P11" t="s">
        <v>334</v>
      </c>
      <c r="Q11">
        <v>0.05</v>
      </c>
      <c r="S11" t="s">
        <v>380</v>
      </c>
      <c r="T11">
        <f ca="1">COUNT(E6:E26)</f>
        <v>21</v>
      </c>
      <c r="U11" s="65">
        <f ca="1">AVERAGE(E6:E26)</f>
        <v>5.2142857142857144</v>
      </c>
      <c r="V11">
        <f ca="1">_xlfn.STDEV.S(E6:E26)</f>
        <v>1.4626297256263174</v>
      </c>
      <c r="AC11" t="s">
        <v>360</v>
      </c>
      <c r="AD11" s="88">
        <f ca="1">SUMPRODUCT(--ISNUMBER(D6:D26),--ISNUMBER(E6:E26))</f>
        <v>21</v>
      </c>
    </row>
    <row r="12" spans="3:31" x14ac:dyDescent="0.3">
      <c r="C12" s="2" t="s">
        <v>291</v>
      </c>
      <c r="D12" s="37" cm="1">
        <f t="array" aca="1" ref="D12" ca="1">INDIRECT("'" &amp; C12 &amp; "'!$L$136")</f>
        <v>7</v>
      </c>
      <c r="E12" s="37" cm="1">
        <f t="array" aca="1" ref="E12" ca="1">INDIRECT("'" &amp; C12 &amp; "'!$M$136")</f>
        <v>6</v>
      </c>
      <c r="G12" t="s">
        <v>304</v>
      </c>
      <c r="H12">
        <f ca="1">MODE(D6:D26)</f>
        <v>4.5</v>
      </c>
      <c r="J12" s="66" t="s">
        <v>335</v>
      </c>
      <c r="K12" s="66" t="str">
        <f ca="1">IF(K10&lt;K11,"no","yes")</f>
        <v>yes</v>
      </c>
      <c r="M12" t="s">
        <v>304</v>
      </c>
      <c r="N12">
        <f ca="1">MODE(E6:E26)</f>
        <v>5</v>
      </c>
      <c r="P12" s="63" t="s">
        <v>335</v>
      </c>
      <c r="Q12" s="66" t="str">
        <f ca="1">IF(Q10&lt;Q11,"no","yes")</f>
        <v>yes</v>
      </c>
      <c r="S12" s="85" t="s">
        <v>349</v>
      </c>
      <c r="T12" s="85">
        <f ca="1">T11</f>
        <v>21</v>
      </c>
      <c r="U12" s="100">
        <f ca="1">U10-U11</f>
        <v>4.761904761904745E-2</v>
      </c>
      <c r="V12" s="85">
        <f t="array" aca="1" ref="V12" ca="1">_xlfn.STDEV.S(D6:D26-E6:E26)</f>
        <v>1.1822093924593255</v>
      </c>
      <c r="W12" s="85">
        <f ca="1">V12/SQRT(T12)</f>
        <v>0.25797923943964834</v>
      </c>
      <c r="X12" s="85">
        <f ca="1">(U10-U11-Z8)/W12</f>
        <v>0.18458480505051433</v>
      </c>
      <c r="Y12" s="85">
        <f ca="1">T12-1</f>
        <v>20</v>
      </c>
      <c r="Z12" s="85">
        <f ca="1">ABS(U10-U11-Z8)/V12</f>
        <v>4.0279706727745189E-2</v>
      </c>
      <c r="AA12" s="85">
        <f ca="1">SQRT(X12^2/(X12^2+Y12))</f>
        <v>4.123930494211598E-2</v>
      </c>
      <c r="AC12" t="s">
        <v>361</v>
      </c>
      <c r="AD12" s="74">
        <f ca="1">SUMPRODUCT(--ISNUMBER(D6:D26),--ISNUMBER(E6:E26),--(D6:D26&lt;&gt;E6:E26))</f>
        <v>16</v>
      </c>
    </row>
    <row r="13" spans="3:31" x14ac:dyDescent="0.3">
      <c r="C13" s="2" t="s">
        <v>292</v>
      </c>
      <c r="D13" s="37" cm="1">
        <f t="array" aca="1" ref="D13" ca="1">INDIRECT("'" &amp; C13 &amp; "'!$L$136")</f>
        <v>5</v>
      </c>
      <c r="E13" s="37" cm="1">
        <f t="array" aca="1" ref="E13" ca="1">INDIRECT("'" &amp; C13 &amp; "'!$M$136")</f>
        <v>5</v>
      </c>
      <c r="G13" t="s">
        <v>305</v>
      </c>
      <c r="H13">
        <f ca="1">_xlfn.STDEV.S(D6:D26)</f>
        <v>1.3749458863810577</v>
      </c>
      <c r="M13" t="s">
        <v>305</v>
      </c>
      <c r="N13">
        <f ca="1">_xlfn.STDEV.S(E6:E26)</f>
        <v>1.4626297256263174</v>
      </c>
      <c r="AC13" t="s">
        <v>362</v>
      </c>
      <c r="AD13" s="74">
        <f ca="1">IF(AD15&lt;=AD18,AD15,AD12*(AD12+1)/2)</f>
        <v>68</v>
      </c>
    </row>
    <row r="14" spans="3:31" ht="15" thickBot="1" x14ac:dyDescent="0.35">
      <c r="C14" s="2" t="s">
        <v>293</v>
      </c>
      <c r="D14" s="37" cm="1">
        <f t="array" aca="1" ref="D14" ca="1">INDIRECT("'" &amp; C14 &amp; "'!$L$136")</f>
        <v>5</v>
      </c>
      <c r="E14" s="37" cm="1">
        <f t="array" aca="1" ref="E14" ca="1">INDIRECT("'" &amp; C14 &amp; "'!$M$136")</f>
        <v>5.5</v>
      </c>
      <c r="G14" t="s">
        <v>306</v>
      </c>
      <c r="H14">
        <f ca="1">_xlfn.VAR.S(D6:D26)</f>
        <v>1.8904761904761926</v>
      </c>
      <c r="J14" t="s">
        <v>336</v>
      </c>
      <c r="M14" t="s">
        <v>306</v>
      </c>
      <c r="N14">
        <f ca="1">_xlfn.VAR.S(E6:E26)</f>
        <v>2.1392857142857169</v>
      </c>
      <c r="P14" t="s">
        <v>336</v>
      </c>
      <c r="S14" t="s">
        <v>350</v>
      </c>
      <c r="AC14" t="s">
        <v>363</v>
      </c>
      <c r="AD14" s="74">
        <f ca="1">AD12*(AD12+1)/2-AD13</f>
        <v>68</v>
      </c>
    </row>
    <row r="15" spans="3:31" ht="15" thickTop="1" x14ac:dyDescent="0.3">
      <c r="C15" s="2" t="s">
        <v>294</v>
      </c>
      <c r="D15" s="37" cm="1">
        <f t="array" aca="1" ref="D15" ca="1">INDIRECT("'" &amp; C15 &amp; "'!$L$136")</f>
        <v>4.5</v>
      </c>
      <c r="E15" s="37" cm="1">
        <f t="array" aca="1" ref="E15" ca="1">INDIRECT("'" &amp; C15 &amp; "'!$M$136")</f>
        <v>6.5</v>
      </c>
      <c r="G15" t="s">
        <v>307</v>
      </c>
      <c r="H15">
        <f ca="1">KURT(D6:D26)</f>
        <v>-0.82412263726590362</v>
      </c>
      <c r="M15" t="s">
        <v>307</v>
      </c>
      <c r="N15">
        <f ca="1">KURT(E6:E26)</f>
        <v>0.85138773841161486</v>
      </c>
      <c r="S15" s="68" t="s">
        <v>351</v>
      </c>
      <c r="T15" s="68" t="s">
        <v>333</v>
      </c>
      <c r="U15" s="68" t="s">
        <v>352</v>
      </c>
      <c r="V15" s="68" t="s">
        <v>353</v>
      </c>
      <c r="W15" s="68" t="s">
        <v>354</v>
      </c>
      <c r="X15" s="68" t="s">
        <v>355</v>
      </c>
      <c r="AC15" t="s">
        <v>364</v>
      </c>
      <c r="AD15" s="75">
        <f ca="1">[1]!SRANK(D6:D26,E6:E26)</f>
        <v>68</v>
      </c>
    </row>
    <row r="16" spans="3:31" x14ac:dyDescent="0.3">
      <c r="C16" s="2" t="s">
        <v>295</v>
      </c>
      <c r="D16" s="37" cm="1">
        <f t="array" aca="1" ref="D16" ca="1">INDIRECT("'" &amp; C16 &amp; "'!$L$136")</f>
        <v>7</v>
      </c>
      <c r="E16" s="37" cm="1">
        <f t="array" aca="1" ref="E16" ca="1">INDIRECT("'" &amp; C16 &amp; "'!$M$136")</f>
        <v>5</v>
      </c>
      <c r="G16" t="s">
        <v>308</v>
      </c>
      <c r="H16">
        <f ca="1">SKEW(D6:D26)</f>
        <v>-0.3074253537494826</v>
      </c>
      <c r="J16" s="85" t="s">
        <v>337</v>
      </c>
      <c r="K16" s="85">
        <f ca="1">[1]!DAGOSTINO(D6:D26)</f>
        <v>1.3227909714450807</v>
      </c>
      <c r="M16" t="s">
        <v>308</v>
      </c>
      <c r="N16">
        <f ca="1">SKEW(E6:E26)</f>
        <v>-0.95967912468801686</v>
      </c>
      <c r="P16" s="85" t="s">
        <v>337</v>
      </c>
      <c r="Q16" s="85">
        <f ca="1">[1]!DAGOSTINO(E6:E26)</f>
        <v>4.6372551842075058</v>
      </c>
      <c r="S16" t="s">
        <v>356</v>
      </c>
      <c r="T16">
        <f ca="1">_xlfn.T.DIST.RT(ABS(X12),Y12)</f>
        <v>0.42770677826861342</v>
      </c>
      <c r="U16">
        <f ca="1">_xlfn.T.INV.2T(W8*2,Y12)</f>
        <v>1.7247182429207868</v>
      </c>
      <c r="X16" s="70" t="str">
        <f ca="1">IF(T16&lt;W8,"yes","no")</f>
        <v>no</v>
      </c>
    </row>
    <row r="17" spans="3:31" x14ac:dyDescent="0.3">
      <c r="C17" s="2" t="s">
        <v>296</v>
      </c>
      <c r="D17" s="37" cm="1">
        <f t="array" aca="1" ref="D17" ca="1">INDIRECT("'" &amp; C17 &amp; "'!$L$136")</f>
        <v>5</v>
      </c>
      <c r="E17" s="37" cm="1">
        <f t="array" aca="1" ref="E17" ca="1">INDIRECT("'" &amp; C17 &amp; "'!$M$136")</f>
        <v>6.5</v>
      </c>
      <c r="G17" t="s">
        <v>309</v>
      </c>
      <c r="H17">
        <f ca="1">H18-H19</f>
        <v>4.5</v>
      </c>
      <c r="J17" t="s">
        <v>333</v>
      </c>
      <c r="K17">
        <f ca="1">[1]!DPTEST(D6:D26)</f>
        <v>0.51613057885280744</v>
      </c>
      <c r="M17" t="s">
        <v>309</v>
      </c>
      <c r="N17">
        <f ca="1">N18-N19</f>
        <v>5.5</v>
      </c>
      <c r="P17" t="s">
        <v>333</v>
      </c>
      <c r="Q17">
        <f ca="1">[1]!DPTEST(E6:E26)</f>
        <v>9.8408549640908394E-2</v>
      </c>
      <c r="S17" t="s">
        <v>357</v>
      </c>
      <c r="T17">
        <f ca="1">_xlfn.T.DIST.2T(ABS(X12),Y12)</f>
        <v>0.85541355653722684</v>
      </c>
      <c r="U17">
        <f ca="1">_xlfn.T.INV.2T(W8,Y12)</f>
        <v>2.0859634472658648</v>
      </c>
      <c r="V17">
        <f ca="1">(U10-U11)-W12*U17</f>
        <v>-0.49051621600550732</v>
      </c>
      <c r="W17">
        <f ca="1">(U10-U11)+W12*U17</f>
        <v>0.58575431124360222</v>
      </c>
      <c r="X17" s="70" t="str">
        <f ca="1">IF(T17&lt;W8,"yes","no")</f>
        <v>no</v>
      </c>
      <c r="AD17" s="70" t="s">
        <v>365</v>
      </c>
      <c r="AE17" s="70" t="s">
        <v>366</v>
      </c>
    </row>
    <row r="18" spans="3:31" x14ac:dyDescent="0.3">
      <c r="C18" s="2" t="s">
        <v>297</v>
      </c>
      <c r="D18" s="37" cm="1">
        <f t="array" aca="1" ref="D18" ca="1">INDIRECT("'" &amp; C18 &amp; "'!$L$136")</f>
        <v>7</v>
      </c>
      <c r="E18" s="37" cm="1">
        <f t="array" aca="1" ref="E18" ca="1">INDIRECT("'" &amp; C18 &amp; "'!$M$136")</f>
        <v>7</v>
      </c>
      <c r="G18" s="65" t="s">
        <v>310</v>
      </c>
      <c r="H18" s="65">
        <f ca="1">MAX(D6:D26)</f>
        <v>7</v>
      </c>
      <c r="J18" t="s">
        <v>334</v>
      </c>
      <c r="K18">
        <v>0.05</v>
      </c>
      <c r="M18" t="s">
        <v>310</v>
      </c>
      <c r="N18" s="65">
        <f ca="1">MAX(E6:E26)</f>
        <v>7</v>
      </c>
      <c r="P18" t="s">
        <v>334</v>
      </c>
      <c r="Q18">
        <v>0.05</v>
      </c>
      <c r="S18" s="85"/>
      <c r="T18" s="85"/>
      <c r="U18" s="85"/>
      <c r="V18" s="85"/>
      <c r="W18" s="85"/>
      <c r="X18" s="85"/>
      <c r="AC18" t="s">
        <v>367</v>
      </c>
      <c r="AD18" s="88">
        <f ca="1">AD12*(AD12+1)/4</f>
        <v>68</v>
      </c>
    </row>
    <row r="19" spans="3:31" x14ac:dyDescent="0.3">
      <c r="C19" s="2" t="s">
        <v>298</v>
      </c>
      <c r="D19" s="37" cm="1">
        <f t="array" aca="1" ref="D19" ca="1">INDIRECT("'" &amp; C19 &amp; "'!$L$136")</f>
        <v>6</v>
      </c>
      <c r="E19" s="37" cm="1">
        <f t="array" aca="1" ref="E19" ca="1">INDIRECT("'" &amp; C19 &amp; "'!$M$136")</f>
        <v>7</v>
      </c>
      <c r="G19" s="65" t="s">
        <v>311</v>
      </c>
      <c r="H19" s="65">
        <f ca="1">MIN(D6:D26)</f>
        <v>2.5</v>
      </c>
      <c r="J19" s="66" t="s">
        <v>335</v>
      </c>
      <c r="K19" s="66" t="str">
        <f ca="1">IF(K17&lt;K18,"no","yes")</f>
        <v>yes</v>
      </c>
      <c r="M19" t="s">
        <v>311</v>
      </c>
      <c r="N19" s="65">
        <f ca="1">MIN(E6:E26)</f>
        <v>1.5</v>
      </c>
      <c r="P19" s="63" t="s">
        <v>335</v>
      </c>
      <c r="Q19" s="66" t="str">
        <f ca="1">IF(Q17&lt;Q18,"no","yes")</f>
        <v>yes</v>
      </c>
      <c r="AC19" t="s">
        <v>368</v>
      </c>
      <c r="AD19" s="74">
        <f ca="1">SQRT(AD18*(2*AD12+1)/6-[1]!TiesCorrection(D6:D26,E6:E26,1)/48)</f>
        <v>19.153981309377954</v>
      </c>
      <c r="AE19" t="s">
        <v>369</v>
      </c>
    </row>
    <row r="20" spans="3:31" x14ac:dyDescent="0.3">
      <c r="C20" s="2" t="s">
        <v>299</v>
      </c>
      <c r="D20" s="37" cm="1">
        <f t="array" aca="1" ref="D20" ca="1">INDIRECT("'" &amp; C20 &amp; "'!$L$136")</f>
        <v>4.5</v>
      </c>
      <c r="E20" s="37" cm="1">
        <f t="array" aca="1" ref="E20" ca="1">INDIRECT("'" &amp; C20 &amp; "'!$M$136")</f>
        <v>1.5</v>
      </c>
      <c r="G20" s="65" t="s">
        <v>312</v>
      </c>
      <c r="H20" s="65">
        <f ca="1">SUM(D6:D26)</f>
        <v>110.5</v>
      </c>
      <c r="M20" t="s">
        <v>312</v>
      </c>
      <c r="N20" s="65">
        <f ca="1">SUM(E6:E26)</f>
        <v>109.5</v>
      </c>
      <c r="AC20" t="s">
        <v>370</v>
      </c>
      <c r="AD20" s="74">
        <f ca="1">ABS(ABS(AD15-AD18)-1/2)/AD19</f>
        <v>2.6104233471043209E-2</v>
      </c>
      <c r="AE20" t="s">
        <v>371</v>
      </c>
    </row>
    <row r="21" spans="3:31" x14ac:dyDescent="0.3">
      <c r="C21" s="2" t="s">
        <v>395</v>
      </c>
      <c r="D21" s="37" cm="1">
        <f t="array" aca="1" ref="D21" ca="1">INDIRECT("'" &amp; C21 &amp; "'!$L$136")</f>
        <v>6.5</v>
      </c>
      <c r="E21" s="37" cm="1">
        <f t="array" aca="1" ref="E21" ca="1">INDIRECT("'" &amp; C21 &amp; "'!$M$136")</f>
        <v>6</v>
      </c>
      <c r="G21" t="s">
        <v>313</v>
      </c>
      <c r="H21">
        <f ca="1">COUNT(D6:D26)</f>
        <v>21</v>
      </c>
      <c r="M21" t="s">
        <v>313</v>
      </c>
      <c r="N21">
        <f ca="1">COUNT(E6:E26)</f>
        <v>21</v>
      </c>
      <c r="AC21" t="s">
        <v>372</v>
      </c>
      <c r="AD21" s="74">
        <f ca="1">AD20/SQRT(AD12)</f>
        <v>6.5260583677608022E-3</v>
      </c>
    </row>
    <row r="22" spans="3:31" x14ac:dyDescent="0.3">
      <c r="C22" s="2" t="s">
        <v>396</v>
      </c>
      <c r="D22" s="37" cm="1">
        <f t="array" aca="1" ref="D22" ca="1">INDIRECT("'" &amp; C22 &amp; "'!$L$136")</f>
        <v>6</v>
      </c>
      <c r="E22" s="37" cm="1">
        <f t="array" aca="1" ref="E22" ca="1">INDIRECT("'" &amp; C22 &amp; "'!$M$136")</f>
        <v>5</v>
      </c>
      <c r="G22" t="s">
        <v>314</v>
      </c>
      <c r="H22">
        <f ca="1">GEOMEAN(D6:D26)</f>
        <v>5.0701039318924597</v>
      </c>
      <c r="M22" t="s">
        <v>314</v>
      </c>
      <c r="N22">
        <f ca="1">GEOMEAN(E6:E26)</f>
        <v>4.9430467669110296</v>
      </c>
      <c r="AC22" t="s">
        <v>373</v>
      </c>
      <c r="AD22" s="88">
        <f ca="1">1-_xlfn.NORM.S.DIST(AD20,TRUE)</f>
        <v>0.48958710019648921</v>
      </c>
      <c r="AE22" s="104">
        <f ca="1">2*AD22</f>
        <v>0.97917420039297842</v>
      </c>
    </row>
    <row r="23" spans="3:31" x14ac:dyDescent="0.3">
      <c r="C23" s="2" t="s">
        <v>397</v>
      </c>
      <c r="D23" s="37" cm="1">
        <f t="array" aca="1" ref="D23" ca="1">INDIRECT("'" &amp; C23 &amp; "'!$L$136")</f>
        <v>4</v>
      </c>
      <c r="E23" s="37" cm="1">
        <f t="array" aca="1" ref="E23" ca="1">INDIRECT("'" &amp; C23 &amp; "'!$M$136")</f>
        <v>5.5</v>
      </c>
      <c r="G23" t="s">
        <v>315</v>
      </c>
      <c r="H23">
        <f ca="1">HARMEAN(D6:D26)</f>
        <v>4.8563482091174768</v>
      </c>
      <c r="M23" t="s">
        <v>315</v>
      </c>
      <c r="N23">
        <f ca="1">HARMEAN(E6:E26)</f>
        <v>4.5496662702711799</v>
      </c>
      <c r="AC23" t="s">
        <v>374</v>
      </c>
      <c r="AD23" s="74">
        <f ca="1">[1]!SRDIST(AD15,AD12,1)</f>
        <v>0.5100250244140625</v>
      </c>
      <c r="AE23" s="77">
        <f ca="1">2*AD23</f>
        <v>1.020050048828125</v>
      </c>
    </row>
    <row r="24" spans="3:31" x14ac:dyDescent="0.3">
      <c r="C24" s="2" t="s">
        <v>398</v>
      </c>
      <c r="D24" s="37" cm="1">
        <f t="array" aca="1" ref="D24" ca="1">INDIRECT("'" &amp; C24 &amp; "'!$L$136")</f>
        <v>4.5</v>
      </c>
      <c r="E24" s="37" cm="1">
        <f t="array" aca="1" ref="E24" ca="1">INDIRECT("'" &amp; C24 &amp; "'!$M$136")</f>
        <v>4.5</v>
      </c>
      <c r="G24" t="s">
        <v>316</v>
      </c>
      <c r="H24">
        <f ca="1">AVEDEV(D6:D26)</f>
        <v>1.1564625850340138</v>
      </c>
      <c r="M24" t="s">
        <v>316</v>
      </c>
      <c r="N24">
        <f ca="1">AVEDEV(E6:E26)</f>
        <v>1.1088435374149659</v>
      </c>
      <c r="AC24" t="s">
        <v>375</v>
      </c>
      <c r="AD24" s="75" t="s">
        <v>376</v>
      </c>
      <c r="AE24" s="78" t="s">
        <v>376</v>
      </c>
    </row>
    <row r="25" spans="3:31" x14ac:dyDescent="0.3">
      <c r="C25" s="2" t="s">
        <v>399</v>
      </c>
      <c r="D25" s="37" cm="1">
        <f t="array" aca="1" ref="D25" ca="1">INDIRECT("'" &amp; C25 &amp; "'!$L$136")</f>
        <v>6.5</v>
      </c>
      <c r="E25" s="37" cm="1">
        <f t="array" aca="1" ref="E25" ca="1">INDIRECT("'" &amp; C25 &amp; "'!$M$136")</f>
        <v>7</v>
      </c>
      <c r="G25" t="s">
        <v>317</v>
      </c>
      <c r="H25">
        <f ca="1">[1]!MAD(D6:D26)</f>
        <v>1</v>
      </c>
      <c r="M25" t="s">
        <v>317</v>
      </c>
      <c r="N25">
        <f ca="1">[1]!MAD(E6:E26)</f>
        <v>1</v>
      </c>
    </row>
    <row r="26" spans="3:31" x14ac:dyDescent="0.3">
      <c r="C26" s="2" t="s">
        <v>400</v>
      </c>
      <c r="D26" s="37" cm="1">
        <f t="array" aca="1" ref="D26" ca="1">INDIRECT("'" &amp; C26 &amp; "'!$L$136")</f>
        <v>2.5</v>
      </c>
      <c r="E26" s="37" cm="1">
        <f t="array" aca="1" ref="E26" ca="1">INDIRECT("'" &amp; C26 &amp; "'!$M$136")</f>
        <v>3.5</v>
      </c>
      <c r="G26" s="63" t="s">
        <v>318</v>
      </c>
      <c r="H26" s="63">
        <f ca="1">[1]!IQR(D6:D26,FALSE)</f>
        <v>2</v>
      </c>
      <c r="M26" s="63" t="s">
        <v>318</v>
      </c>
      <c r="N26" s="63">
        <f ca="1">[1]!IQR(E6:E26,FALSE)</f>
        <v>2</v>
      </c>
    </row>
    <row r="30" spans="3:31" x14ac:dyDescent="0.3">
      <c r="C30" s="2"/>
      <c r="D30" s="84" t="s">
        <v>163</v>
      </c>
      <c r="E30" s="83"/>
      <c r="G30" s="107"/>
      <c r="J30" s="107"/>
    </row>
    <row r="31" spans="3:31" x14ac:dyDescent="0.3">
      <c r="C31" s="2"/>
      <c r="D31" s="2"/>
      <c r="E31" s="2"/>
      <c r="F31" s="2"/>
      <c r="G31" s="37"/>
      <c r="I31" s="2"/>
      <c r="J31" s="37"/>
    </row>
    <row r="32" spans="3:31" x14ac:dyDescent="0.3">
      <c r="C32" s="2" t="s">
        <v>285</v>
      </c>
      <c r="D32" s="37" cm="1">
        <f t="array" aca="1" ref="D32" ca="1">INDIRECT("'" &amp; C32 &amp; "'!$e$136")</f>
        <v>6</v>
      </c>
      <c r="E32" s="37" cm="1">
        <f t="array" aca="1" ref="E32" ca="1">INDIRECT("'" &amp; C32 &amp; "'!$f$136")</f>
        <v>6</v>
      </c>
      <c r="F32" s="2"/>
      <c r="G32" t="s">
        <v>300</v>
      </c>
      <c r="J32" t="s">
        <v>331</v>
      </c>
      <c r="M32" t="s">
        <v>300</v>
      </c>
      <c r="P32" t="s">
        <v>331</v>
      </c>
      <c r="S32" t="s">
        <v>338</v>
      </c>
      <c r="AC32" t="s">
        <v>358</v>
      </c>
    </row>
    <row r="33" spans="3:31" x14ac:dyDescent="0.3">
      <c r="C33" s="2" t="s">
        <v>286</v>
      </c>
      <c r="D33" s="37" cm="1">
        <f t="array" aca="1" ref="D33" ca="1">INDIRECT("'" &amp; C33 &amp; "'!$e$136")</f>
        <v>4</v>
      </c>
      <c r="E33" s="37" cm="1">
        <f t="array" aca="1" ref="E33" ca="1">INDIRECT("'" &amp; C33 &amp; "'!$f$136")</f>
        <v>3</v>
      </c>
      <c r="F33" s="2"/>
    </row>
    <row r="34" spans="3:31" ht="15" thickBot="1" x14ac:dyDescent="0.35">
      <c r="C34" s="2" t="s">
        <v>287</v>
      </c>
      <c r="D34" s="37" cm="1">
        <f t="array" aca="1" ref="D34" ca="1">INDIRECT("'" &amp; C34 &amp; "'!$e$136")</f>
        <v>7</v>
      </c>
      <c r="E34" s="37" cm="1">
        <f t="array" aca="1" ref="E34" ca="1">INDIRECT("'" &amp; C34 &amp; "'!$f$136")</f>
        <v>6</v>
      </c>
      <c r="F34" s="2"/>
      <c r="G34" s="64"/>
      <c r="H34" s="64" t="s">
        <v>379</v>
      </c>
      <c r="I34" s="79"/>
      <c r="J34" s="64"/>
      <c r="K34" s="64" t="s">
        <v>379</v>
      </c>
      <c r="M34" s="64"/>
      <c r="N34" s="64" t="s">
        <v>379</v>
      </c>
      <c r="P34" s="64"/>
      <c r="Q34" s="64" t="s">
        <v>379</v>
      </c>
      <c r="S34" t="s">
        <v>339</v>
      </c>
      <c r="V34" t="s">
        <v>340</v>
      </c>
      <c r="W34">
        <v>0.05</v>
      </c>
      <c r="Y34" t="s">
        <v>341</v>
      </c>
      <c r="Z34">
        <v>0</v>
      </c>
      <c r="AD34" t="s">
        <v>381</v>
      </c>
      <c r="AE34" t="s">
        <v>382</v>
      </c>
    </row>
    <row r="35" spans="3:31" ht="15" thickTop="1" x14ac:dyDescent="0.3">
      <c r="C35" s="2" t="s">
        <v>288</v>
      </c>
      <c r="D35" s="37" cm="1">
        <f t="array" aca="1" ref="D35" ca="1">INDIRECT("'" &amp; C35 &amp; "'!$e$136")</f>
        <v>5</v>
      </c>
      <c r="E35" s="37" cm="1">
        <f t="array" aca="1" ref="E35" ca="1">INDIRECT("'" &amp; C35 &amp; "'!$f$136")</f>
        <v>6</v>
      </c>
      <c r="F35" s="2"/>
      <c r="G35" s="65" t="s">
        <v>301</v>
      </c>
      <c r="H35" s="65">
        <f ca="1">AVERAGE(D32:D52)</f>
        <v>5.7142857142857144</v>
      </c>
      <c r="J35" t="s">
        <v>332</v>
      </c>
      <c r="K35">
        <f ca="1">[1]!SHAPIRO(D32:D52)</f>
        <v>0.87846508148293012</v>
      </c>
      <c r="M35" t="s">
        <v>301</v>
      </c>
      <c r="N35" s="65">
        <f ca="1">AVERAGE(E32:E52)</f>
        <v>5.7619047619047619</v>
      </c>
      <c r="P35" t="s">
        <v>332</v>
      </c>
      <c r="Q35">
        <f ca="1">[1]!SHAPIRO(E32:E52)</f>
        <v>0.80874239199892917</v>
      </c>
      <c r="S35" s="68" t="s">
        <v>342</v>
      </c>
      <c r="T35" s="68" t="s">
        <v>313</v>
      </c>
      <c r="U35" s="68" t="s">
        <v>301</v>
      </c>
      <c r="V35" s="68" t="s">
        <v>343</v>
      </c>
      <c r="W35" s="68" t="s">
        <v>344</v>
      </c>
      <c r="X35" s="68" t="s">
        <v>345</v>
      </c>
      <c r="Y35" s="68" t="s">
        <v>346</v>
      </c>
      <c r="Z35" s="68" t="s">
        <v>347</v>
      </c>
      <c r="AA35" s="68" t="s">
        <v>348</v>
      </c>
      <c r="AC35" t="s">
        <v>359</v>
      </c>
      <c r="AD35" s="102">
        <f ca="1">MEDIAN(D32:D52)</f>
        <v>6</v>
      </c>
      <c r="AE35" s="103">
        <f ca="1">MEDIAN(E32:E52)</f>
        <v>6</v>
      </c>
    </row>
    <row r="36" spans="3:31" x14ac:dyDescent="0.3">
      <c r="C36" s="2" t="s">
        <v>289</v>
      </c>
      <c r="D36" s="37" cm="1">
        <f t="array" aca="1" ref="D36" ca="1">INDIRECT("'" &amp; C36 &amp; "'!$e$136")</f>
        <v>7</v>
      </c>
      <c r="E36" s="37" cm="1">
        <f t="array" aca="1" ref="E36" ca="1">INDIRECT("'" &amp; C36 &amp; "'!$f$136")</f>
        <v>6</v>
      </c>
      <c r="F36" s="2"/>
      <c r="G36" t="s">
        <v>302</v>
      </c>
      <c r="H36">
        <f ca="1">_xlfn.STDEV.S(D32:D52)/SQRT(COUNT(D32:D52))</f>
        <v>0.25951288749407098</v>
      </c>
      <c r="J36" t="s">
        <v>333</v>
      </c>
      <c r="K36">
        <f ca="1">[1]!SWTEST(D32:D52)</f>
        <v>1.3681754688033232E-2</v>
      </c>
      <c r="M36" t="s">
        <v>302</v>
      </c>
      <c r="N36">
        <f ca="1">_xlfn.STDEV.S(E32:E52)/SQRT(COUNT(E32:E52))</f>
        <v>0.3000377905147309</v>
      </c>
      <c r="P36" t="s">
        <v>333</v>
      </c>
      <c r="Q36">
        <f ca="1">[1]!SWTEST(E32:E52)</f>
        <v>8.9522390469543023E-4</v>
      </c>
      <c r="S36" t="s">
        <v>379</v>
      </c>
      <c r="T36">
        <f ca="1">COUNT(D32:D52)</f>
        <v>21</v>
      </c>
      <c r="U36" s="65">
        <f ca="1">AVERAGE(D32:D52)</f>
        <v>5.7142857142857144</v>
      </c>
      <c r="V36">
        <f ca="1">_xlfn.STDEV.S(D32:D52)</f>
        <v>1.1892374507581389</v>
      </c>
    </row>
    <row r="37" spans="3:31" x14ac:dyDescent="0.3">
      <c r="C37" s="2" t="s">
        <v>290</v>
      </c>
      <c r="D37" s="37" cm="1">
        <f t="array" aca="1" ref="D37" ca="1">INDIRECT("'" &amp; C37 &amp; "'!$e$136")</f>
        <v>5</v>
      </c>
      <c r="E37" s="37" cm="1">
        <f t="array" aca="1" ref="E37" ca="1">INDIRECT("'" &amp; C37 &amp; "'!$f$136")</f>
        <v>5</v>
      </c>
      <c r="F37" s="2"/>
      <c r="G37" s="65" t="s">
        <v>303</v>
      </c>
      <c r="H37" s="65">
        <f ca="1">MEDIAN(D32:D52)</f>
        <v>6</v>
      </c>
      <c r="J37" t="s">
        <v>334</v>
      </c>
      <c r="K37">
        <v>0.05</v>
      </c>
      <c r="M37" t="s">
        <v>303</v>
      </c>
      <c r="N37" s="65">
        <f ca="1">MEDIAN(E32:E52)</f>
        <v>6</v>
      </c>
      <c r="P37" t="s">
        <v>334</v>
      </c>
      <c r="Q37">
        <v>0.05</v>
      </c>
      <c r="S37" t="s">
        <v>380</v>
      </c>
      <c r="T37">
        <f ca="1">COUNT(E32:E52)</f>
        <v>21</v>
      </c>
      <c r="U37" s="65">
        <f ca="1">AVERAGE(E32:E52)</f>
        <v>5.7619047619047619</v>
      </c>
      <c r="V37">
        <f ca="1">_xlfn.STDEV.S(E32:E52)</f>
        <v>1.3749458863810577</v>
      </c>
      <c r="AC37" t="s">
        <v>360</v>
      </c>
      <c r="AD37" s="88">
        <f ca="1">SUMPRODUCT(--ISNUMBER(D32:D52),--ISNUMBER(E32:E52))</f>
        <v>21</v>
      </c>
    </row>
    <row r="38" spans="3:31" x14ac:dyDescent="0.3">
      <c r="C38" s="2" t="s">
        <v>291</v>
      </c>
      <c r="D38" s="37" cm="1">
        <f t="array" aca="1" ref="D38" ca="1">INDIRECT("'" &amp; C38 &amp; "'!$e$136")</f>
        <v>7</v>
      </c>
      <c r="E38" s="37" cm="1">
        <f t="array" aca="1" ref="E38" ca="1">INDIRECT("'" &amp; C38 &amp; "'!$f$136")</f>
        <v>7</v>
      </c>
      <c r="F38" s="2"/>
      <c r="G38" t="s">
        <v>304</v>
      </c>
      <c r="H38">
        <f ca="1">MODE(D32:D52)</f>
        <v>7</v>
      </c>
      <c r="J38" s="66" t="s">
        <v>335</v>
      </c>
      <c r="K38" s="66" t="str">
        <f ca="1">IF(K36&lt;K37,"no","yes")</f>
        <v>no</v>
      </c>
      <c r="M38" t="s">
        <v>304</v>
      </c>
      <c r="N38">
        <f ca="1">MODE(E32:E52)</f>
        <v>6</v>
      </c>
      <c r="P38" s="63" t="s">
        <v>335</v>
      </c>
      <c r="Q38" s="66" t="str">
        <f ca="1">IF(Q36&lt;Q37,"no","yes")</f>
        <v>no</v>
      </c>
      <c r="S38" s="85" t="s">
        <v>349</v>
      </c>
      <c r="T38" s="85">
        <f ca="1">T37</f>
        <v>21</v>
      </c>
      <c r="U38" s="100">
        <f ca="1">U36-U37</f>
        <v>-4.761904761904745E-2</v>
      </c>
      <c r="V38" s="85">
        <f t="array" aca="1" ref="V38" ca="1">_xlfn.STDEV.S(D32:D52-E32:E52)</f>
        <v>1.2440333788202982</v>
      </c>
      <c r="W38" s="85">
        <f ca="1">V38/SQRT(T38)</f>
        <v>0.27147033930931858</v>
      </c>
      <c r="X38" s="85">
        <f ca="1">(U36-U37-Z34)/W38</f>
        <v>-0.17541160386140522</v>
      </c>
      <c r="Y38" s="85">
        <f ca="1">T38-1</f>
        <v>20</v>
      </c>
      <c r="Z38" s="85">
        <f ca="1">ABS(U36-U37-Z34)/V38</f>
        <v>3.8277950117547505E-2</v>
      </c>
      <c r="AA38" s="85">
        <f ca="1">SQRT(X38^2/(X38^2+Y38))</f>
        <v>3.9193090083480889E-2</v>
      </c>
      <c r="AC38" t="s">
        <v>361</v>
      </c>
      <c r="AD38" s="74">
        <f ca="1">SUMPRODUCT(--ISNUMBER(D32:D52),--ISNUMBER(E32:E52),--(D32:D52&lt;&gt;E32:E52))</f>
        <v>14</v>
      </c>
    </row>
    <row r="39" spans="3:31" x14ac:dyDescent="0.3">
      <c r="C39" s="2" t="s">
        <v>292</v>
      </c>
      <c r="D39" s="37" cm="1">
        <f t="array" aca="1" ref="D39" ca="1">INDIRECT("'" &amp; C39 &amp; "'!$e$136")</f>
        <v>6</v>
      </c>
      <c r="E39" s="37" cm="1">
        <f t="array" aca="1" ref="E39" ca="1">INDIRECT("'" &amp; C39 &amp; "'!$f$136")</f>
        <v>6</v>
      </c>
      <c r="F39" s="2"/>
      <c r="G39" t="s">
        <v>305</v>
      </c>
      <c r="H39">
        <f ca="1">_xlfn.STDEV.S(D32:D52)</f>
        <v>1.1892374507581389</v>
      </c>
      <c r="M39" t="s">
        <v>305</v>
      </c>
      <c r="N39">
        <f ca="1">_xlfn.STDEV.S(E32:E52)</f>
        <v>1.3749458863810577</v>
      </c>
      <c r="AC39" t="s">
        <v>362</v>
      </c>
      <c r="AD39" s="74">
        <f ca="1">IF(AD41&lt;=AD44,AD41,AD38*(AD38+1)/2)</f>
        <v>48</v>
      </c>
    </row>
    <row r="40" spans="3:31" ht="15" thickBot="1" x14ac:dyDescent="0.35">
      <c r="C40" s="2" t="s">
        <v>293</v>
      </c>
      <c r="D40" s="37" cm="1">
        <f t="array" aca="1" ref="D40" ca="1">INDIRECT("'" &amp; C40 &amp; "'!$e$136")</f>
        <v>6</v>
      </c>
      <c r="E40" s="37" cm="1">
        <f t="array" aca="1" ref="E40" ca="1">INDIRECT("'" &amp; C40 &amp; "'!$f$136")</f>
        <v>7</v>
      </c>
      <c r="F40" s="2"/>
      <c r="G40" t="s">
        <v>306</v>
      </c>
      <c r="H40">
        <f ca="1">_xlfn.VAR.S(D32:D52)</f>
        <v>1.4142857142857168</v>
      </c>
      <c r="J40" t="s">
        <v>336</v>
      </c>
      <c r="M40" t="s">
        <v>306</v>
      </c>
      <c r="N40">
        <f ca="1">_xlfn.VAR.S(E32:E52)</f>
        <v>1.8904761904761926</v>
      </c>
      <c r="P40" t="s">
        <v>336</v>
      </c>
      <c r="S40" t="s">
        <v>350</v>
      </c>
      <c r="AC40" t="s">
        <v>363</v>
      </c>
      <c r="AD40" s="74">
        <f ca="1">AD38*(AD38+1)/2-AD39</f>
        <v>57</v>
      </c>
    </row>
    <row r="41" spans="3:31" ht="15" thickTop="1" x14ac:dyDescent="0.3">
      <c r="C41" s="2" t="s">
        <v>294</v>
      </c>
      <c r="D41" s="37" cm="1">
        <f t="array" aca="1" ref="D41" ca="1">INDIRECT("'" &amp; C41 &amp; "'!$e$136")</f>
        <v>5</v>
      </c>
      <c r="E41" s="37" cm="1">
        <f t="array" aca="1" ref="E41" ca="1">INDIRECT("'" &amp; C41 &amp; "'!$f$136")</f>
        <v>7</v>
      </c>
      <c r="F41" s="2"/>
      <c r="G41" t="s">
        <v>307</v>
      </c>
      <c r="H41">
        <f ca="1">KURT(D32:D52)</f>
        <v>-0.39281705948372458</v>
      </c>
      <c r="M41" t="s">
        <v>307</v>
      </c>
      <c r="N41">
        <f ca="1">KURT(E32:E52)</f>
        <v>1.8885877142335254</v>
      </c>
      <c r="S41" s="68" t="s">
        <v>351</v>
      </c>
      <c r="T41" s="68" t="s">
        <v>333</v>
      </c>
      <c r="U41" s="68" t="s">
        <v>352</v>
      </c>
      <c r="V41" s="68" t="s">
        <v>353</v>
      </c>
      <c r="W41" s="68" t="s">
        <v>354</v>
      </c>
      <c r="X41" s="68" t="s">
        <v>355</v>
      </c>
      <c r="AC41" t="s">
        <v>364</v>
      </c>
      <c r="AD41" s="75">
        <f ca="1">[1]!SRANK(D32:D52,E32:E52)</f>
        <v>48</v>
      </c>
    </row>
    <row r="42" spans="3:31" x14ac:dyDescent="0.3">
      <c r="C42" s="2" t="s">
        <v>295</v>
      </c>
      <c r="D42" s="37" cm="1">
        <f t="array" aca="1" ref="D42" ca="1">INDIRECT("'" &amp; C42 &amp; "'!$e$136")</f>
        <v>7</v>
      </c>
      <c r="E42" s="37" cm="1">
        <f t="array" aca="1" ref="E42" ca="1">INDIRECT("'" &amp; C42 &amp; "'!$f$136")</f>
        <v>5</v>
      </c>
      <c r="F42" s="2"/>
      <c r="G42" t="s">
        <v>308</v>
      </c>
      <c r="H42">
        <f ca="1">SKEW(D32:D52)</f>
        <v>-0.56728885210878321</v>
      </c>
      <c r="J42" s="85" t="s">
        <v>337</v>
      </c>
      <c r="K42" s="85">
        <f ca="1">[1]!DAGOSTINO(D32:D52)</f>
        <v>1.4372215171509501</v>
      </c>
      <c r="M42" t="s">
        <v>308</v>
      </c>
      <c r="N42">
        <f ca="1">SKEW(E32:E52)</f>
        <v>-1.4395610715426439</v>
      </c>
      <c r="P42" s="85" t="s">
        <v>337</v>
      </c>
      <c r="Q42" s="85">
        <f ca="1">[1]!DAGOSTINO(E32:E52)</f>
        <v>9.9215971186076217</v>
      </c>
      <c r="S42" t="s">
        <v>356</v>
      </c>
      <c r="T42">
        <f ca="1">_xlfn.T.DIST.RT(ABS(X38),Y38)</f>
        <v>0.43125999580730628</v>
      </c>
      <c r="U42">
        <f ca="1">_xlfn.T.INV.2T(W34*2,Y38)</f>
        <v>1.7247182429207868</v>
      </c>
      <c r="X42" s="70" t="str">
        <f ca="1">IF(T42&lt;W34,"yes","no")</f>
        <v>no</v>
      </c>
    </row>
    <row r="43" spans="3:31" x14ac:dyDescent="0.3">
      <c r="C43" s="2" t="s">
        <v>296</v>
      </c>
      <c r="D43" s="37" cm="1">
        <f t="array" aca="1" ref="D43" ca="1">INDIRECT("'" &amp; C43 &amp; "'!$e$136")</f>
        <v>4</v>
      </c>
      <c r="E43" s="37" cm="1">
        <f t="array" aca="1" ref="E43" ca="1">INDIRECT("'" &amp; C43 &amp; "'!$f$136")</f>
        <v>6</v>
      </c>
      <c r="F43" s="2"/>
      <c r="G43" t="s">
        <v>309</v>
      </c>
      <c r="H43">
        <f ca="1">H44-H45</f>
        <v>4</v>
      </c>
      <c r="J43" t="s">
        <v>333</v>
      </c>
      <c r="K43">
        <f ca="1">[1]!DPTEST(D32:D52)</f>
        <v>0.48742894228893874</v>
      </c>
      <c r="M43" t="s">
        <v>309</v>
      </c>
      <c r="N43">
        <f ca="1">N44-N45</f>
        <v>5</v>
      </c>
      <c r="P43" t="s">
        <v>333</v>
      </c>
      <c r="Q43">
        <f ca="1">[1]!DPTEST(E32:E52)</f>
        <v>7.0073298292840924E-3</v>
      </c>
      <c r="S43" t="s">
        <v>357</v>
      </c>
      <c r="T43">
        <f ca="1">_xlfn.T.DIST.2T(ABS(X38),Y38)</f>
        <v>0.86251999161461257</v>
      </c>
      <c r="U43">
        <f ca="1">_xlfn.T.INV.2T(W34,Y38)</f>
        <v>2.0859634472658648</v>
      </c>
      <c r="V43">
        <f ca="1">(U36-U37)-W38*U43</f>
        <v>-0.61389625243514767</v>
      </c>
      <c r="W43">
        <f ca="1">(U36-U37)+W38*U43</f>
        <v>0.51865815719705277</v>
      </c>
      <c r="X43" s="70" t="str">
        <f ca="1">IF(T43&lt;W34,"yes","no")</f>
        <v>no</v>
      </c>
      <c r="AD43" s="70" t="s">
        <v>365</v>
      </c>
      <c r="AE43" s="70" t="s">
        <v>366</v>
      </c>
    </row>
    <row r="44" spans="3:31" x14ac:dyDescent="0.3">
      <c r="C44" s="2" t="s">
        <v>297</v>
      </c>
      <c r="D44" s="37" cm="1">
        <f t="array" aca="1" ref="D44" ca="1">INDIRECT("'" &amp; C44 &amp; "'!$e$136")</f>
        <v>7</v>
      </c>
      <c r="E44" s="37" cm="1">
        <f t="array" aca="1" ref="E44" ca="1">INDIRECT("'" &amp; C44 &amp; "'!$f$136")</f>
        <v>7</v>
      </c>
      <c r="F44" s="2"/>
      <c r="G44" s="65" t="s">
        <v>310</v>
      </c>
      <c r="H44" s="65">
        <f ca="1">MAX(D32:D52)</f>
        <v>7</v>
      </c>
      <c r="J44" t="s">
        <v>334</v>
      </c>
      <c r="K44">
        <v>0.05</v>
      </c>
      <c r="M44" t="s">
        <v>310</v>
      </c>
      <c r="N44" s="65">
        <f ca="1">MAX(E32:E52)</f>
        <v>7</v>
      </c>
      <c r="P44" t="s">
        <v>334</v>
      </c>
      <c r="Q44">
        <v>0.05</v>
      </c>
      <c r="S44" s="85"/>
      <c r="T44" s="85"/>
      <c r="U44" s="85"/>
      <c r="V44" s="85"/>
      <c r="W44" s="85"/>
      <c r="X44" s="85"/>
      <c r="AC44" t="s">
        <v>367</v>
      </c>
      <c r="AD44" s="88">
        <f ca="1">AD38*(AD38+1)/4</f>
        <v>52.5</v>
      </c>
    </row>
    <row r="45" spans="3:31" x14ac:dyDescent="0.3">
      <c r="C45" s="2" t="s">
        <v>298</v>
      </c>
      <c r="D45" s="37" cm="1">
        <f t="array" aca="1" ref="D45" ca="1">INDIRECT("'" &amp; C45 &amp; "'!$e$136")</f>
        <v>6</v>
      </c>
      <c r="E45" s="37" cm="1">
        <f t="array" aca="1" ref="E45" ca="1">INDIRECT("'" &amp; C45 &amp; "'!$f$136")</f>
        <v>7</v>
      </c>
      <c r="F45" s="2"/>
      <c r="G45" s="65" t="s">
        <v>311</v>
      </c>
      <c r="H45" s="65">
        <f ca="1">MIN(D32:D52)</f>
        <v>3</v>
      </c>
      <c r="J45" s="66" t="s">
        <v>335</v>
      </c>
      <c r="K45" s="66" t="str">
        <f ca="1">IF(K43&lt;K44,"no","yes")</f>
        <v>yes</v>
      </c>
      <c r="M45" t="s">
        <v>311</v>
      </c>
      <c r="N45" s="65">
        <f ca="1">MIN(E32:E52)</f>
        <v>2</v>
      </c>
      <c r="P45" s="63" t="s">
        <v>335</v>
      </c>
      <c r="Q45" s="66" t="str">
        <f ca="1">IF(Q43&lt;Q44,"no","yes")</f>
        <v>no</v>
      </c>
      <c r="AC45" t="s">
        <v>368</v>
      </c>
      <c r="AD45" s="74">
        <f ca="1">SQRT(AD44*(2*AD38+1)/6-[1]!TiesCorrection(D32:D52,E32:E52,1)/48)</f>
        <v>15.252049042669643</v>
      </c>
      <c r="AE45" t="s">
        <v>369</v>
      </c>
    </row>
    <row r="46" spans="3:31" x14ac:dyDescent="0.3">
      <c r="C46" s="2" t="s">
        <v>299</v>
      </c>
      <c r="D46" s="37" cm="1">
        <f t="array" aca="1" ref="D46" ca="1">INDIRECT("'" &amp; C46 &amp; "'!$e$136")</f>
        <v>5</v>
      </c>
      <c r="E46" s="37" cm="1">
        <f t="array" aca="1" ref="E46" ca="1">INDIRECT("'" &amp; C46 &amp; "'!$f$136")</f>
        <v>2</v>
      </c>
      <c r="F46" s="2"/>
      <c r="G46" s="65" t="s">
        <v>312</v>
      </c>
      <c r="H46" s="65">
        <f ca="1">SUM(D32:D52)</f>
        <v>120</v>
      </c>
      <c r="M46" t="s">
        <v>312</v>
      </c>
      <c r="N46" s="65">
        <f ca="1">SUM(E32:E52)</f>
        <v>121</v>
      </c>
      <c r="AC46" t="s">
        <v>370</v>
      </c>
      <c r="AD46" s="74">
        <f ca="1">ABS(ABS(AD41-AD44)-1/2)/AD45</f>
        <v>0.26225984382881712</v>
      </c>
      <c r="AE46" t="s">
        <v>371</v>
      </c>
    </row>
    <row r="47" spans="3:31" x14ac:dyDescent="0.3">
      <c r="C47" s="2" t="s">
        <v>395</v>
      </c>
      <c r="D47" s="37" cm="1">
        <f t="array" aca="1" ref="D47" ca="1">INDIRECT("'" &amp; C47 &amp; "'!$e$136")</f>
        <v>7</v>
      </c>
      <c r="E47" s="37" cm="1">
        <f t="array" aca="1" ref="E47" ca="1">INDIRECT("'" &amp; C47 &amp; "'!$f$136")</f>
        <v>7</v>
      </c>
      <c r="F47" s="2"/>
      <c r="G47" t="s">
        <v>313</v>
      </c>
      <c r="H47">
        <f ca="1">COUNT(D32:D52)</f>
        <v>21</v>
      </c>
      <c r="M47" t="s">
        <v>313</v>
      </c>
      <c r="N47">
        <f ca="1">COUNT(E32:E52)</f>
        <v>21</v>
      </c>
      <c r="AC47" t="s">
        <v>372</v>
      </c>
      <c r="AD47" s="74">
        <f ca="1">AD46/SQRT(AD38)</f>
        <v>7.0091891565448136E-2</v>
      </c>
    </row>
    <row r="48" spans="3:31" x14ac:dyDescent="0.3">
      <c r="C48" s="2" t="s">
        <v>396</v>
      </c>
      <c r="D48" s="37" cm="1">
        <f t="array" aca="1" ref="D48" ca="1">INDIRECT("'" &amp; C48 &amp; "'!$e$136")</f>
        <v>7</v>
      </c>
      <c r="E48" s="37" cm="1">
        <f t="array" aca="1" ref="E48" ca="1">INDIRECT("'" &amp; C48 &amp; "'!$f$136")</f>
        <v>6</v>
      </c>
      <c r="F48" s="2"/>
      <c r="G48" t="s">
        <v>314</v>
      </c>
      <c r="H48">
        <f ca="1">GEOMEAN(D32:D52)</f>
        <v>5.5813373861941162</v>
      </c>
      <c r="M48" t="s">
        <v>314</v>
      </c>
      <c r="N48">
        <f ca="1">GEOMEAN(E32:E52)</f>
        <v>5.5426202081486027</v>
      </c>
      <c r="AC48" t="s">
        <v>373</v>
      </c>
      <c r="AD48" s="88">
        <f ca="1">1-_xlfn.NORM.S.DIST(AD46,TRUE)</f>
        <v>0.3965605593616105</v>
      </c>
      <c r="AE48" s="104">
        <f ca="1">2*AD48</f>
        <v>0.793121118723221</v>
      </c>
    </row>
    <row r="49" spans="3:31" x14ac:dyDescent="0.3">
      <c r="C49" s="2" t="s">
        <v>397</v>
      </c>
      <c r="D49" s="37" cm="1">
        <f t="array" aca="1" ref="D49" ca="1">INDIRECT("'" &amp; C49 &amp; "'!$e$136")</f>
        <v>5</v>
      </c>
      <c r="E49" s="37" cm="1">
        <f t="array" aca="1" ref="E49" ca="1">INDIRECT("'" &amp; C49 &amp; "'!$f$136")</f>
        <v>6</v>
      </c>
      <c r="F49" s="2"/>
      <c r="G49" t="s">
        <v>315</v>
      </c>
      <c r="H49">
        <f ca="1">HARMEAN(D32:D52)</f>
        <v>5.4310344827586201</v>
      </c>
      <c r="M49" t="s">
        <v>315</v>
      </c>
      <c r="N49">
        <f ca="1">HARMEAN(E32:E52)</f>
        <v>5.2282157676348557</v>
      </c>
      <c r="AC49" t="s">
        <v>374</v>
      </c>
      <c r="AD49" s="74">
        <f ca="1">[1]!SRDIST(AD41,AD38,1)</f>
        <v>0.40386962890625</v>
      </c>
      <c r="AE49" s="77">
        <f ca="1">2*AD49</f>
        <v>0.8077392578125</v>
      </c>
    </row>
    <row r="50" spans="3:31" x14ac:dyDescent="0.3">
      <c r="C50" s="2" t="s">
        <v>398</v>
      </c>
      <c r="D50" s="37" cm="1">
        <f t="array" aca="1" ref="D50" ca="1">INDIRECT("'" &amp; C50 &amp; "'!$e$136")</f>
        <v>5</v>
      </c>
      <c r="E50" s="37" cm="1">
        <f t="array" aca="1" ref="E50" ca="1">INDIRECT("'" &amp; C50 &amp; "'!$f$136")</f>
        <v>5</v>
      </c>
      <c r="F50" s="2"/>
      <c r="G50" t="s">
        <v>316</v>
      </c>
      <c r="H50">
        <f ca="1">AVEDEV(D32:D52)</f>
        <v>0.99319727891156462</v>
      </c>
      <c r="M50" t="s">
        <v>316</v>
      </c>
      <c r="N50">
        <f ca="1">AVEDEV(E32:E52)</f>
        <v>1.0068027210884352</v>
      </c>
      <c r="AC50" t="s">
        <v>375</v>
      </c>
      <c r="AD50" s="75" t="s">
        <v>376</v>
      </c>
      <c r="AE50" s="78" t="s">
        <v>376</v>
      </c>
    </row>
    <row r="51" spans="3:31" x14ac:dyDescent="0.3">
      <c r="C51" s="2" t="s">
        <v>399</v>
      </c>
      <c r="D51" s="37" cm="1">
        <f t="array" aca="1" ref="D51" ca="1">INDIRECT("'" &amp; C51 &amp; "'!$e$136")</f>
        <v>6</v>
      </c>
      <c r="E51" s="37" cm="1">
        <f t="array" aca="1" ref="E51" ca="1">INDIRECT("'" &amp; C51 &amp; "'!$f$136")</f>
        <v>7</v>
      </c>
      <c r="F51" s="2"/>
      <c r="G51" t="s">
        <v>317</v>
      </c>
      <c r="H51">
        <f ca="1">[1]!MAD(D32:D52)</f>
        <v>1</v>
      </c>
      <c r="M51" t="s">
        <v>317</v>
      </c>
      <c r="N51">
        <f ca="1">[1]!MAD(E32:E52)</f>
        <v>1</v>
      </c>
    </row>
    <row r="52" spans="3:31" x14ac:dyDescent="0.3">
      <c r="C52" s="2" t="s">
        <v>400</v>
      </c>
      <c r="D52" s="37" cm="1">
        <f t="array" aca="1" ref="D52" ca="1">INDIRECT("'" &amp; C52 &amp; "'!$e$136")</f>
        <v>3</v>
      </c>
      <c r="E52" s="37" cm="1">
        <f t="array" aca="1" ref="E52" ca="1">INDIRECT("'" &amp; C52 &amp; "'!$f$136")</f>
        <v>4</v>
      </c>
      <c r="G52" s="63" t="s">
        <v>318</v>
      </c>
      <c r="H52" s="63">
        <f ca="1">[1]!IQR(D32:D52,FALSE)</f>
        <v>2</v>
      </c>
      <c r="M52" s="63" t="s">
        <v>318</v>
      </c>
      <c r="N52" s="63">
        <f ca="1">[1]!IQR(E32:E52,FALSE)</f>
        <v>2</v>
      </c>
    </row>
    <row r="56" spans="3:31" x14ac:dyDescent="0.3">
      <c r="C56" s="79"/>
      <c r="D56" s="79"/>
      <c r="F56" s="79"/>
      <c r="G56" s="79"/>
    </row>
    <row r="57" spans="3:31" x14ac:dyDescent="0.3">
      <c r="C57" s="2"/>
      <c r="D57" s="84" t="s">
        <v>165</v>
      </c>
      <c r="E57" s="83"/>
      <c r="G57" s="107"/>
      <c r="J57" s="107"/>
    </row>
    <row r="58" spans="3:31" x14ac:dyDescent="0.3">
      <c r="C58" s="2"/>
      <c r="D58" s="2"/>
      <c r="E58" s="2"/>
      <c r="F58" s="2"/>
      <c r="G58" s="37"/>
      <c r="I58" s="2"/>
      <c r="J58" s="37"/>
    </row>
    <row r="59" spans="3:31" x14ac:dyDescent="0.3">
      <c r="C59" s="2" t="s">
        <v>285</v>
      </c>
      <c r="D59" s="37" cm="1">
        <f t="array" aca="1" ref="D59" ca="1">INDIRECT("'" &amp; C59 &amp; "'!$e$137")</f>
        <v>3</v>
      </c>
      <c r="E59" s="37" cm="1">
        <f t="array" aca="1" ref="E59" ca="1">INDIRECT("'" &amp; C59 &amp; "'!$f$137")</f>
        <v>3</v>
      </c>
      <c r="F59" s="2"/>
      <c r="G59" t="s">
        <v>300</v>
      </c>
      <c r="J59" t="s">
        <v>331</v>
      </c>
      <c r="M59" t="s">
        <v>300</v>
      </c>
      <c r="P59" t="s">
        <v>331</v>
      </c>
      <c r="S59" t="s">
        <v>338</v>
      </c>
      <c r="AC59" t="s">
        <v>358</v>
      </c>
    </row>
    <row r="60" spans="3:31" x14ac:dyDescent="0.3">
      <c r="C60" s="2" t="s">
        <v>286</v>
      </c>
      <c r="D60" s="37" cm="1">
        <f t="array" aca="1" ref="D60" ca="1">INDIRECT("'" &amp; C60 &amp; "'!$e$137")</f>
        <v>2</v>
      </c>
      <c r="E60" s="37" cm="1">
        <f t="array" aca="1" ref="E60" ca="1">INDIRECT("'" &amp; C60 &amp; "'!$f$137")</f>
        <v>2</v>
      </c>
      <c r="F60" s="2"/>
    </row>
    <row r="61" spans="3:31" ht="15" thickBot="1" x14ac:dyDescent="0.35">
      <c r="C61" s="2" t="s">
        <v>287</v>
      </c>
      <c r="D61" s="37" cm="1">
        <f t="array" aca="1" ref="D61" ca="1">INDIRECT("'" &amp; C61 &amp; "'!$e$137")</f>
        <v>6</v>
      </c>
      <c r="E61" s="37" cm="1">
        <f t="array" aca="1" ref="E61" ca="1">INDIRECT("'" &amp; C61 &amp; "'!$f$137")</f>
        <v>5</v>
      </c>
      <c r="F61" s="2"/>
      <c r="G61" s="64"/>
      <c r="H61" s="64" t="s">
        <v>379</v>
      </c>
      <c r="I61" s="79"/>
      <c r="J61" s="64"/>
      <c r="K61" s="64" t="s">
        <v>379</v>
      </c>
      <c r="M61" s="64"/>
      <c r="N61" s="64" t="s">
        <v>379</v>
      </c>
      <c r="P61" s="64"/>
      <c r="Q61" s="64" t="s">
        <v>379</v>
      </c>
      <c r="S61" t="s">
        <v>339</v>
      </c>
      <c r="V61" t="s">
        <v>340</v>
      </c>
      <c r="W61">
        <v>0.05</v>
      </c>
      <c r="Y61" t="s">
        <v>341</v>
      </c>
      <c r="Z61">
        <v>0</v>
      </c>
      <c r="AD61" t="s">
        <v>381</v>
      </c>
      <c r="AE61" t="s">
        <v>382</v>
      </c>
    </row>
    <row r="62" spans="3:31" ht="15" thickTop="1" x14ac:dyDescent="0.3">
      <c r="C62" s="2" t="s">
        <v>288</v>
      </c>
      <c r="D62" s="37" cm="1">
        <f t="array" aca="1" ref="D62" ca="1">INDIRECT("'" &amp; C62 &amp; "'!$e$137")</f>
        <v>2</v>
      </c>
      <c r="E62" s="37" cm="1">
        <f t="array" aca="1" ref="E62" ca="1">INDIRECT("'" &amp; C62 &amp; "'!$f$137")</f>
        <v>2</v>
      </c>
      <c r="F62" s="2"/>
      <c r="G62" s="65" t="s">
        <v>301</v>
      </c>
      <c r="H62" s="65">
        <f ca="1">AVERAGE(D59:D79)</f>
        <v>4.8095238095238093</v>
      </c>
      <c r="J62" t="s">
        <v>332</v>
      </c>
      <c r="K62">
        <f ca="1">[1]!SHAPIRO(D59:D79)</f>
        <v>0.89571275503916969</v>
      </c>
      <c r="M62" t="s">
        <v>301</v>
      </c>
      <c r="N62" s="65">
        <f ca="1">AVERAGE(E59:E79)</f>
        <v>4.666666666666667</v>
      </c>
      <c r="P62" t="s">
        <v>332</v>
      </c>
      <c r="Q62">
        <f ca="1">[1]!SHAPIRO(E59:E79)</f>
        <v>0.92291954889784256</v>
      </c>
      <c r="S62" s="68" t="s">
        <v>342</v>
      </c>
      <c r="T62" s="68" t="s">
        <v>313</v>
      </c>
      <c r="U62" s="68" t="s">
        <v>301</v>
      </c>
      <c r="V62" s="68" t="s">
        <v>343</v>
      </c>
      <c r="W62" s="68" t="s">
        <v>344</v>
      </c>
      <c r="X62" s="68" t="s">
        <v>345</v>
      </c>
      <c r="Y62" s="68" t="s">
        <v>346</v>
      </c>
      <c r="Z62" s="68" t="s">
        <v>347</v>
      </c>
      <c r="AA62" s="68" t="s">
        <v>348</v>
      </c>
      <c r="AC62" t="s">
        <v>359</v>
      </c>
      <c r="AD62" s="102">
        <f ca="1">MEDIAN(D59:D79)</f>
        <v>5</v>
      </c>
      <c r="AE62" s="103">
        <f ca="1">MEDIAN(E59:E79)</f>
        <v>5</v>
      </c>
    </row>
    <row r="63" spans="3:31" x14ac:dyDescent="0.3">
      <c r="C63" s="2" t="s">
        <v>289</v>
      </c>
      <c r="D63" s="37" cm="1">
        <f t="array" aca="1" ref="D63" ca="1">INDIRECT("'" &amp; C63 &amp; "'!$e$137")</f>
        <v>7</v>
      </c>
      <c r="E63" s="37" cm="1">
        <f t="array" aca="1" ref="E63" ca="1">INDIRECT("'" &amp; C63 &amp; "'!$f$137")</f>
        <v>7</v>
      </c>
      <c r="F63" s="2"/>
      <c r="G63" t="s">
        <v>302</v>
      </c>
      <c r="H63">
        <f ca="1">_xlfn.STDEV.S(D59:D79)/SQRT(COUNT(D59:D79))</f>
        <v>0.38802950071358794</v>
      </c>
      <c r="J63" t="s">
        <v>333</v>
      </c>
      <c r="K63">
        <f ca="1">[1]!SWTEST(D59:D79)</f>
        <v>2.8922438157470864E-2</v>
      </c>
      <c r="M63" t="s">
        <v>302</v>
      </c>
      <c r="N63">
        <f ca="1">_xlfn.STDEV.S(E59:E79)/SQRT(COUNT(E59:E79))</f>
        <v>0.39238788713243178</v>
      </c>
      <c r="P63" t="s">
        <v>333</v>
      </c>
      <c r="Q63">
        <f ca="1">[1]!SWTEST(E59:E79)</f>
        <v>9.9269790522419799E-2</v>
      </c>
      <c r="S63" t="s">
        <v>379</v>
      </c>
      <c r="T63">
        <f ca="1">COUNT(D59:D79)</f>
        <v>21</v>
      </c>
      <c r="U63" s="65">
        <f ca="1">AVERAGE(D59:D79)</f>
        <v>4.8095238095238093</v>
      </c>
      <c r="V63">
        <f ca="1">_xlfn.STDEV.S(D59:D79)</f>
        <v>1.7781745588959377</v>
      </c>
    </row>
    <row r="64" spans="3:31" x14ac:dyDescent="0.3">
      <c r="C64" s="2" t="s">
        <v>290</v>
      </c>
      <c r="D64" s="37" cm="1">
        <f t="array" aca="1" ref="D64" ca="1">INDIRECT("'" &amp; C64 &amp; "'!$e$137")</f>
        <v>5</v>
      </c>
      <c r="E64" s="37" cm="1">
        <f t="array" aca="1" ref="E64" ca="1">INDIRECT("'" &amp; C64 &amp; "'!$f$137")</f>
        <v>5</v>
      </c>
      <c r="F64" s="2"/>
      <c r="G64" s="65" t="s">
        <v>303</v>
      </c>
      <c r="H64" s="65">
        <f ca="1">MEDIAN(D59:D79)</f>
        <v>5</v>
      </c>
      <c r="J64" t="s">
        <v>334</v>
      </c>
      <c r="K64">
        <v>0.05</v>
      </c>
      <c r="M64" t="s">
        <v>303</v>
      </c>
      <c r="N64" s="65">
        <f ca="1">MEDIAN(E59:E79)</f>
        <v>5</v>
      </c>
      <c r="P64" t="s">
        <v>334</v>
      </c>
      <c r="Q64">
        <v>0.05</v>
      </c>
      <c r="S64" t="s">
        <v>380</v>
      </c>
      <c r="T64">
        <f ca="1">COUNT(E59:E79)</f>
        <v>21</v>
      </c>
      <c r="U64" s="65">
        <f ca="1">AVERAGE(E59:E79)</f>
        <v>4.666666666666667</v>
      </c>
      <c r="V64">
        <f ca="1">_xlfn.STDEV.S(E59:E79)</f>
        <v>1.7981471945681573</v>
      </c>
      <c r="AC64" t="s">
        <v>360</v>
      </c>
      <c r="AD64" s="88">
        <f ca="1">SUMPRODUCT(--ISNUMBER(D59:D79),--ISNUMBER(E59:E79))</f>
        <v>21</v>
      </c>
    </row>
    <row r="65" spans="3:31" x14ac:dyDescent="0.3">
      <c r="C65" s="2" t="s">
        <v>291</v>
      </c>
      <c r="D65" s="37" cm="1">
        <f t="array" aca="1" ref="D65" ca="1">INDIRECT("'" &amp; C65 &amp; "'!$e$137")</f>
        <v>7</v>
      </c>
      <c r="E65" s="37" cm="1">
        <f t="array" aca="1" ref="E65" ca="1">INDIRECT("'" &amp; C65 &amp; "'!$f$137")</f>
        <v>5</v>
      </c>
      <c r="F65" s="2"/>
      <c r="G65" t="s">
        <v>304</v>
      </c>
      <c r="H65">
        <f ca="1">MODE(D59:D79)</f>
        <v>7</v>
      </c>
      <c r="J65" s="66" t="s">
        <v>335</v>
      </c>
      <c r="K65" s="66" t="str">
        <f ca="1">IF(K63&lt;K64,"no","yes")</f>
        <v>no</v>
      </c>
      <c r="M65" t="s">
        <v>304</v>
      </c>
      <c r="N65">
        <f ca="1">MODE(E59:E79)</f>
        <v>5</v>
      </c>
      <c r="P65" s="63" t="s">
        <v>335</v>
      </c>
      <c r="Q65" s="66" t="str">
        <f ca="1">IF(Q63&lt;Q64,"no","yes")</f>
        <v>yes</v>
      </c>
      <c r="S65" s="85" t="s">
        <v>349</v>
      </c>
      <c r="T65" s="85">
        <f ca="1">T64</f>
        <v>21</v>
      </c>
      <c r="U65" s="100">
        <f ca="1">U63-U64</f>
        <v>0.14285714285714235</v>
      </c>
      <c r="V65" s="85">
        <f t="array" aca="1" ref="V65" ca="1">_xlfn.STDEV.S(D59:D79-E59:E79)</f>
        <v>1.2363540870525032</v>
      </c>
      <c r="W65" s="85">
        <f ca="1">V65/SQRT(T65)</f>
        <v>0.26979458046124372</v>
      </c>
      <c r="X65" s="85">
        <f ca="1">(U63-U64-Z61)/W65</f>
        <v>0.52950338221365401</v>
      </c>
      <c r="Y65" s="85">
        <f ca="1">T65-1</f>
        <v>20</v>
      </c>
      <c r="Z65" s="85">
        <f ca="1">ABS(U63-U64-Z61)/V65</f>
        <v>0.11554711093948587</v>
      </c>
      <c r="AA65" s="85">
        <f ca="1">SQRT(X65^2/(X65^2+Y65))</f>
        <v>0.11757927025044268</v>
      </c>
      <c r="AC65" t="s">
        <v>361</v>
      </c>
      <c r="AD65" s="74">
        <f ca="1">SUMPRODUCT(--ISNUMBER(D59:D79),--ISNUMBER(E59:E79),--(D59:D79&lt;&gt;E59:E79))</f>
        <v>11</v>
      </c>
    </row>
    <row r="66" spans="3:31" x14ac:dyDescent="0.3">
      <c r="C66" s="2" t="s">
        <v>292</v>
      </c>
      <c r="D66" s="37" cm="1">
        <f t="array" aca="1" ref="D66" ca="1">INDIRECT("'" &amp; C66 &amp; "'!$e$137")</f>
        <v>4</v>
      </c>
      <c r="E66" s="37" cm="1">
        <f t="array" aca="1" ref="E66" ca="1">INDIRECT("'" &amp; C66 &amp; "'!$f$137")</f>
        <v>4</v>
      </c>
      <c r="F66" s="2"/>
      <c r="G66" t="s">
        <v>305</v>
      </c>
      <c r="H66">
        <f ca="1">_xlfn.STDEV.S(D59:D79)</f>
        <v>1.7781745588959377</v>
      </c>
      <c r="M66" t="s">
        <v>305</v>
      </c>
      <c r="N66">
        <f ca="1">_xlfn.STDEV.S(E59:E79)</f>
        <v>1.7981471945681573</v>
      </c>
      <c r="AC66" t="s">
        <v>362</v>
      </c>
      <c r="AD66" s="74">
        <f ca="1">IF(AD68&lt;=AD71,AD68,AD65*(AD65+1)/2)</f>
        <v>27.5</v>
      </c>
    </row>
    <row r="67" spans="3:31" ht="15" thickBot="1" x14ac:dyDescent="0.35">
      <c r="C67" s="2" t="s">
        <v>293</v>
      </c>
      <c r="D67" s="37" cm="1">
        <f t="array" aca="1" ref="D67" ca="1">INDIRECT("'" &amp; C67 &amp; "'!$e$137")</f>
        <v>4</v>
      </c>
      <c r="E67" s="37" cm="1">
        <f t="array" aca="1" ref="E67" ca="1">INDIRECT("'" &amp; C67 &amp; "'!$f$137")</f>
        <v>4</v>
      </c>
      <c r="F67" s="2"/>
      <c r="G67" t="s">
        <v>306</v>
      </c>
      <c r="H67">
        <f ca="1">_xlfn.VAR.S(D59:D79)</f>
        <v>3.1619047619047622</v>
      </c>
      <c r="J67" t="s">
        <v>336</v>
      </c>
      <c r="M67" t="s">
        <v>306</v>
      </c>
      <c r="N67">
        <f ca="1">_xlfn.VAR.S(E59:E79)</f>
        <v>3.2333333333333343</v>
      </c>
      <c r="P67" t="s">
        <v>336</v>
      </c>
      <c r="S67" t="s">
        <v>350</v>
      </c>
      <c r="AC67" t="s">
        <v>363</v>
      </c>
      <c r="AD67" s="74">
        <f ca="1">AD65*(AD65+1)/2-AD66</f>
        <v>38.5</v>
      </c>
    </row>
    <row r="68" spans="3:31" ht="15" thickTop="1" x14ac:dyDescent="0.3">
      <c r="C68" s="2" t="s">
        <v>294</v>
      </c>
      <c r="D68" s="37" cm="1">
        <f t="array" aca="1" ref="D68" ca="1">INDIRECT("'" &amp; C68 &amp; "'!$e$137")</f>
        <v>4</v>
      </c>
      <c r="E68" s="37" cm="1">
        <f t="array" aca="1" ref="E68" ca="1">INDIRECT("'" &amp; C68 &amp; "'!$f$137")</f>
        <v>6</v>
      </c>
      <c r="F68" s="2"/>
      <c r="G68" t="s">
        <v>307</v>
      </c>
      <c r="H68">
        <f ca="1">KURT(D59:D79)</f>
        <v>-1.2545815793293644</v>
      </c>
      <c r="M68" t="s">
        <v>307</v>
      </c>
      <c r="N68">
        <f ca="1">KURT(E59:E79)</f>
        <v>-0.60429264254269421</v>
      </c>
      <c r="S68" s="68" t="s">
        <v>351</v>
      </c>
      <c r="T68" s="68" t="s">
        <v>333</v>
      </c>
      <c r="U68" s="68" t="s">
        <v>352</v>
      </c>
      <c r="V68" s="68" t="s">
        <v>353</v>
      </c>
      <c r="W68" s="68" t="s">
        <v>354</v>
      </c>
      <c r="X68" s="68" t="s">
        <v>355</v>
      </c>
      <c r="AC68" t="s">
        <v>364</v>
      </c>
      <c r="AD68" s="75">
        <f ca="1">[1]!SRANK(D59:D79,E59:E79)</f>
        <v>27.5</v>
      </c>
    </row>
    <row r="69" spans="3:31" x14ac:dyDescent="0.3">
      <c r="C69" s="2" t="s">
        <v>295</v>
      </c>
      <c r="D69" s="37" cm="1">
        <f t="array" aca="1" ref="D69" ca="1">INDIRECT("'" &amp; C69 &amp; "'!$e$137")</f>
        <v>7</v>
      </c>
      <c r="E69" s="37" cm="1">
        <f t="array" aca="1" ref="E69" ca="1">INDIRECT("'" &amp; C69 &amp; "'!$f$137")</f>
        <v>5</v>
      </c>
      <c r="F69" s="2"/>
      <c r="G69" t="s">
        <v>308</v>
      </c>
      <c r="H69">
        <f ca="1">SKEW(D59:D79)</f>
        <v>-0.2134758563585413</v>
      </c>
      <c r="J69" s="85" t="s">
        <v>337</v>
      </c>
      <c r="K69" s="85">
        <f ca="1">[1]!DAGOSTINO(D59:D79)</f>
        <v>3.8698145899195753</v>
      </c>
      <c r="M69" t="s">
        <v>308</v>
      </c>
      <c r="N69">
        <f ca="1">SKEW(E59:E79)</f>
        <v>-0.29994098227353716</v>
      </c>
      <c r="P69" s="85" t="s">
        <v>337</v>
      </c>
      <c r="Q69" s="85">
        <f ca="1">[1]!DAGOSTINO(E59:E79)</f>
        <v>0.72578128181341972</v>
      </c>
      <c r="S69" t="s">
        <v>356</v>
      </c>
      <c r="T69">
        <f ca="1">_xlfn.T.DIST.RT(ABS(X65),Y65)</f>
        <v>0.30114251853899093</v>
      </c>
      <c r="U69">
        <f ca="1">_xlfn.T.INV.2T(W61*2,Y65)</f>
        <v>1.7247182429207868</v>
      </c>
      <c r="X69" s="70" t="str">
        <f ca="1">IF(T69&lt;W61,"yes","no")</f>
        <v>no</v>
      </c>
    </row>
    <row r="70" spans="3:31" x14ac:dyDescent="0.3">
      <c r="C70" s="2" t="s">
        <v>296</v>
      </c>
      <c r="D70" s="37" cm="1">
        <f t="array" aca="1" ref="D70" ca="1">INDIRECT("'" &amp; C70 &amp; "'!$e$137")</f>
        <v>6</v>
      </c>
      <c r="E70" s="37" cm="1">
        <f t="array" aca="1" ref="E70" ca="1">INDIRECT("'" &amp; C70 &amp; "'!$f$137")</f>
        <v>7</v>
      </c>
      <c r="F70" s="2"/>
      <c r="G70" t="s">
        <v>309</v>
      </c>
      <c r="H70">
        <f ca="1">H71-H72</f>
        <v>5</v>
      </c>
      <c r="J70" t="s">
        <v>333</v>
      </c>
      <c r="K70">
        <f ca="1">[1]!DPTEST(D59:D79)</f>
        <v>0.14443765830181743</v>
      </c>
      <c r="M70" t="s">
        <v>309</v>
      </c>
      <c r="N70">
        <f ca="1">N71-N72</f>
        <v>6</v>
      </c>
      <c r="P70" t="s">
        <v>333</v>
      </c>
      <c r="Q70">
        <f ca="1">[1]!DPTEST(E59:E79)</f>
        <v>0.69566250636032123</v>
      </c>
      <c r="S70" t="s">
        <v>357</v>
      </c>
      <c r="T70">
        <f ca="1">_xlfn.T.DIST.2T(ABS(X65),Y65)</f>
        <v>0.60228503707798187</v>
      </c>
      <c r="U70">
        <f ca="1">_xlfn.T.INV.2T(W61,Y65)</f>
        <v>2.0859634472658648</v>
      </c>
      <c r="V70">
        <f ca="1">(U63-U64)-W65*U70</f>
        <v>-0.41992449025544132</v>
      </c>
      <c r="W70">
        <f ca="1">(U63-U64)+W65*U70</f>
        <v>0.70563877596972602</v>
      </c>
      <c r="X70" s="70" t="str">
        <f ca="1">IF(T70&lt;W61,"yes","no")</f>
        <v>no</v>
      </c>
      <c r="AD70" s="70" t="s">
        <v>365</v>
      </c>
      <c r="AE70" s="70" t="s">
        <v>366</v>
      </c>
    </row>
    <row r="71" spans="3:31" x14ac:dyDescent="0.3">
      <c r="C71" s="2" t="s">
        <v>297</v>
      </c>
      <c r="D71" s="37" cm="1">
        <f t="array" aca="1" ref="D71" ca="1">INDIRECT("'" &amp; C71 &amp; "'!$e$137")</f>
        <v>7</v>
      </c>
      <c r="E71" s="37" cm="1">
        <f t="array" aca="1" ref="E71" ca="1">INDIRECT("'" &amp; C71 &amp; "'!$f$137")</f>
        <v>7</v>
      </c>
      <c r="F71" s="2"/>
      <c r="G71" s="65" t="s">
        <v>310</v>
      </c>
      <c r="H71" s="65">
        <f ca="1">MAX(D59:D79)</f>
        <v>7</v>
      </c>
      <c r="J71" t="s">
        <v>334</v>
      </c>
      <c r="K71">
        <v>0.05</v>
      </c>
      <c r="M71" t="s">
        <v>310</v>
      </c>
      <c r="N71" s="65">
        <f ca="1">MAX(E59:E79)</f>
        <v>7</v>
      </c>
      <c r="P71" t="s">
        <v>334</v>
      </c>
      <c r="Q71">
        <v>0.05</v>
      </c>
      <c r="S71" s="85"/>
      <c r="T71" s="85"/>
      <c r="U71" s="85"/>
      <c r="V71" s="85"/>
      <c r="W71" s="85"/>
      <c r="X71" s="85"/>
      <c r="AC71" t="s">
        <v>367</v>
      </c>
      <c r="AD71" s="88">
        <f ca="1">AD65*(AD65+1)/4</f>
        <v>33</v>
      </c>
    </row>
    <row r="72" spans="3:31" x14ac:dyDescent="0.3">
      <c r="C72" s="2" t="s">
        <v>298</v>
      </c>
      <c r="D72" s="37" cm="1">
        <f t="array" aca="1" ref="D72" ca="1">INDIRECT("'" &amp; C72 &amp; "'!$e$137")</f>
        <v>6</v>
      </c>
      <c r="E72" s="37" cm="1">
        <f t="array" aca="1" ref="E72" ca="1">INDIRECT("'" &amp; C72 &amp; "'!$f$137")</f>
        <v>7</v>
      </c>
      <c r="F72" s="2"/>
      <c r="G72" s="65" t="s">
        <v>311</v>
      </c>
      <c r="H72" s="65">
        <f ca="1">MIN(D59:D79)</f>
        <v>2</v>
      </c>
      <c r="J72" s="66" t="s">
        <v>335</v>
      </c>
      <c r="K72" s="66" t="str">
        <f ca="1">IF(K70&lt;K71,"no","yes")</f>
        <v>yes</v>
      </c>
      <c r="M72" t="s">
        <v>311</v>
      </c>
      <c r="N72" s="65">
        <f ca="1">MIN(E59:E79)</f>
        <v>1</v>
      </c>
      <c r="P72" s="63" t="s">
        <v>335</v>
      </c>
      <c r="Q72" s="66" t="str">
        <f ca="1">IF(Q70&lt;Q71,"no","yes")</f>
        <v>yes</v>
      </c>
      <c r="AC72" t="s">
        <v>368</v>
      </c>
      <c r="AD72" s="74">
        <f ca="1">SQRT(AD71*(2*AD65+1)/6-[1]!TiesCorrection(D59:D79,E59:E79,1)/48)</f>
        <v>10.994316713648011</v>
      </c>
      <c r="AE72" t="s">
        <v>369</v>
      </c>
    </row>
    <row r="73" spans="3:31" x14ac:dyDescent="0.3">
      <c r="C73" s="2" t="s">
        <v>299</v>
      </c>
      <c r="D73" s="37" cm="1">
        <f t="array" aca="1" ref="D73" ca="1">INDIRECT("'" &amp; C73 &amp; "'!$e$137")</f>
        <v>4</v>
      </c>
      <c r="E73" s="37" cm="1">
        <f t="array" aca="1" ref="E73" ca="1">INDIRECT("'" &amp; C73 &amp; "'!$f$137")</f>
        <v>1</v>
      </c>
      <c r="F73" s="2"/>
      <c r="G73" s="65" t="s">
        <v>312</v>
      </c>
      <c r="H73" s="65">
        <f ca="1">SUM(D59:D79)</f>
        <v>101</v>
      </c>
      <c r="M73" t="s">
        <v>312</v>
      </c>
      <c r="N73" s="65">
        <f ca="1">SUM(E59:E79)</f>
        <v>98</v>
      </c>
      <c r="AC73" t="s">
        <v>370</v>
      </c>
      <c r="AD73" s="74">
        <f ca="1">ABS(ABS(AD68-AD71)-1/2)/AD72</f>
        <v>0.45478042248802525</v>
      </c>
      <c r="AE73" t="s">
        <v>371</v>
      </c>
    </row>
    <row r="74" spans="3:31" x14ac:dyDescent="0.3">
      <c r="C74" s="2" t="s">
        <v>395</v>
      </c>
      <c r="D74" s="37" cm="1">
        <f t="array" aca="1" ref="D74" ca="1">INDIRECT("'" &amp; C74 &amp; "'!$e$137")</f>
        <v>6</v>
      </c>
      <c r="E74" s="37" cm="1">
        <f t="array" aca="1" ref="E74" ca="1">INDIRECT("'" &amp; C74 &amp; "'!$f$137")</f>
        <v>5</v>
      </c>
      <c r="F74" s="2"/>
      <c r="G74" t="s">
        <v>313</v>
      </c>
      <c r="H74">
        <f ca="1">COUNT(D59:D79)</f>
        <v>21</v>
      </c>
      <c r="M74" t="s">
        <v>313</v>
      </c>
      <c r="N74">
        <f ca="1">COUNT(E59:E79)</f>
        <v>21</v>
      </c>
      <c r="AC74" t="s">
        <v>372</v>
      </c>
      <c r="AD74" s="74">
        <f ca="1">AD73/SQRT(AD65)</f>
        <v>0.1371214566720079</v>
      </c>
    </row>
    <row r="75" spans="3:31" x14ac:dyDescent="0.3">
      <c r="C75" s="2" t="s">
        <v>396</v>
      </c>
      <c r="D75" s="37" cm="1">
        <f t="array" aca="1" ref="D75" ca="1">INDIRECT("'" &amp; C75 &amp; "'!$e$137")</f>
        <v>5</v>
      </c>
      <c r="E75" s="37" cm="1">
        <f t="array" aca="1" ref="E75" ca="1">INDIRECT("'" &amp; C75 &amp; "'!$f$137")</f>
        <v>4</v>
      </c>
      <c r="F75" s="2"/>
      <c r="G75" t="s">
        <v>314</v>
      </c>
      <c r="H75">
        <f ca="1">GEOMEAN(D59:D79)</f>
        <v>4.4442010562603569</v>
      </c>
      <c r="M75" t="s">
        <v>314</v>
      </c>
      <c r="N75">
        <f ca="1">GEOMEAN(E59:E79)</f>
        <v>4.2341095702969538</v>
      </c>
      <c r="AC75" t="s">
        <v>373</v>
      </c>
      <c r="AD75" s="88">
        <f ca="1">1-_xlfn.NORM.S.DIST(AD73,TRUE)</f>
        <v>0.32463360807123876</v>
      </c>
      <c r="AE75" s="104">
        <f ca="1">2*AD75</f>
        <v>0.64926721614247751</v>
      </c>
    </row>
    <row r="76" spans="3:31" x14ac:dyDescent="0.3">
      <c r="C76" s="2" t="s">
        <v>397</v>
      </c>
      <c r="D76" s="37" cm="1">
        <f t="array" aca="1" ref="D76" ca="1">INDIRECT("'" &amp; C76 &amp; "'!$e$137")</f>
        <v>3</v>
      </c>
      <c r="E76" s="37" cm="1">
        <f t="array" aca="1" ref="E76" ca="1">INDIRECT("'" &amp; C76 &amp; "'!$f$137")</f>
        <v>5</v>
      </c>
      <c r="F76" s="2"/>
      <c r="G76" t="s">
        <v>315</v>
      </c>
      <c r="H76">
        <f ca="1">HARMEAN(D59:D79)</f>
        <v>4.0403114979386165</v>
      </c>
      <c r="M76" t="s">
        <v>315</v>
      </c>
      <c r="N76">
        <f ca="1">HARMEAN(E59:E79)</f>
        <v>3.6536868268434133</v>
      </c>
      <c r="AC76" t="s">
        <v>374</v>
      </c>
      <c r="AD76" s="74">
        <f ca="1">[1]!SRDIST(AD68,AD65,1)</f>
        <v>0.31884765625</v>
      </c>
      <c r="AE76" s="77">
        <f ca="1">2*AD76</f>
        <v>0.6376953125</v>
      </c>
    </row>
    <row r="77" spans="3:31" x14ac:dyDescent="0.3">
      <c r="C77" s="2" t="s">
        <v>398</v>
      </c>
      <c r="D77" s="37" cm="1">
        <f t="array" aca="1" ref="D77" ca="1">INDIRECT("'" &amp; C77 &amp; "'!$e$137")</f>
        <v>4</v>
      </c>
      <c r="E77" s="37" cm="1">
        <f t="array" aca="1" ref="E77" ca="1">INDIRECT("'" &amp; C77 &amp; "'!$f$137")</f>
        <v>4</v>
      </c>
      <c r="F77" s="2"/>
      <c r="G77" t="s">
        <v>316</v>
      </c>
      <c r="H77">
        <f ca="1">AVEDEV(D59:D79)</f>
        <v>1.5328798185941044</v>
      </c>
      <c r="M77" t="s">
        <v>316</v>
      </c>
      <c r="N77">
        <f ca="1">AVEDEV(E59:E79)</f>
        <v>1.4285714285714284</v>
      </c>
      <c r="AC77" t="s">
        <v>375</v>
      </c>
      <c r="AD77" s="75" t="s">
        <v>376</v>
      </c>
      <c r="AE77" s="78" t="s">
        <v>376</v>
      </c>
    </row>
    <row r="78" spans="3:31" x14ac:dyDescent="0.3">
      <c r="C78" s="2" t="s">
        <v>399</v>
      </c>
      <c r="D78" s="37" cm="1">
        <f t="array" aca="1" ref="D78" ca="1">INDIRECT("'" &amp; C78 &amp; "'!$e$137")</f>
        <v>7</v>
      </c>
      <c r="E78" s="37" cm="1">
        <f t="array" aca="1" ref="E78" ca="1">INDIRECT("'" &amp; C78 &amp; "'!$f$137")</f>
        <v>7</v>
      </c>
      <c r="F78" s="2"/>
      <c r="G78" t="s">
        <v>317</v>
      </c>
      <c r="H78">
        <f ca="1">[1]!MAD(D59:D79)</f>
        <v>1</v>
      </c>
      <c r="M78" t="s">
        <v>317</v>
      </c>
      <c r="N78">
        <f ca="1">[1]!MAD(E59:E79)</f>
        <v>1</v>
      </c>
    </row>
    <row r="79" spans="3:31" x14ac:dyDescent="0.3">
      <c r="C79" s="2" t="s">
        <v>400</v>
      </c>
      <c r="D79" s="37" cm="1">
        <f t="array" aca="1" ref="D79" ca="1">INDIRECT("'" &amp; C79 &amp; "'!$e$137")</f>
        <v>2</v>
      </c>
      <c r="E79" s="37" cm="1">
        <f t="array" aca="1" ref="E79" ca="1">INDIRECT("'" &amp; C79 &amp; "'!$f$137")</f>
        <v>3</v>
      </c>
      <c r="G79" s="63" t="s">
        <v>318</v>
      </c>
      <c r="H79" s="63">
        <f ca="1">[1]!IQR(D59:D79,FALSE)</f>
        <v>2</v>
      </c>
      <c r="M79" s="63" t="s">
        <v>318</v>
      </c>
      <c r="N79" s="63">
        <f ca="1">[1]!IQR(E59:E79,FALSE)</f>
        <v>2</v>
      </c>
    </row>
    <row r="83" spans="3:31" x14ac:dyDescent="0.3">
      <c r="C83" s="2"/>
      <c r="D83" s="107"/>
      <c r="E83" s="83"/>
      <c r="G83" s="107"/>
      <c r="J83" s="107"/>
    </row>
    <row r="84" spans="3:31" x14ac:dyDescent="0.3">
      <c r="C84" s="2"/>
      <c r="D84" s="2"/>
      <c r="E84" s="2"/>
      <c r="F84" s="2"/>
      <c r="G84" s="37"/>
      <c r="I84" s="2"/>
      <c r="J84" s="37"/>
    </row>
    <row r="85" spans="3:31" x14ac:dyDescent="0.3">
      <c r="C85" s="2"/>
      <c r="D85" s="37"/>
      <c r="E85" s="37"/>
      <c r="F85" s="2"/>
    </row>
    <row r="86" spans="3:31" x14ac:dyDescent="0.3">
      <c r="C86" s="2"/>
      <c r="D86" s="37"/>
      <c r="E86" s="37"/>
      <c r="F86" s="2"/>
    </row>
    <row r="87" spans="3:31" x14ac:dyDescent="0.3">
      <c r="C87" s="2"/>
      <c r="D87" s="37"/>
      <c r="E87" s="37"/>
      <c r="F87" s="2"/>
      <c r="G87" s="79"/>
      <c r="H87" s="79"/>
      <c r="I87" s="79"/>
      <c r="J87" s="79"/>
      <c r="K87" s="79"/>
      <c r="M87" s="79"/>
      <c r="N87" s="79"/>
      <c r="P87" s="79"/>
      <c r="Q87" s="79"/>
    </row>
    <row r="88" spans="3:31" x14ac:dyDescent="0.3">
      <c r="C88" s="2"/>
      <c r="D88" s="37"/>
      <c r="E88" s="37"/>
      <c r="F88" s="2"/>
      <c r="G88" s="65"/>
      <c r="H88" s="65"/>
      <c r="N88" s="65"/>
      <c r="S88" s="79"/>
      <c r="T88" s="79"/>
      <c r="U88" s="79"/>
      <c r="V88" s="79"/>
      <c r="W88" s="79"/>
      <c r="X88" s="79"/>
      <c r="Y88" s="79"/>
      <c r="Z88" s="79"/>
      <c r="AA88" s="79"/>
      <c r="AD88" s="65"/>
      <c r="AE88" s="65"/>
    </row>
    <row r="89" spans="3:31" x14ac:dyDescent="0.3">
      <c r="C89" s="2"/>
      <c r="D89" s="37"/>
      <c r="E89" s="37"/>
      <c r="F89" s="2"/>
      <c r="U89" s="65"/>
    </row>
    <row r="90" spans="3:31" x14ac:dyDescent="0.3">
      <c r="C90" s="2"/>
      <c r="D90" s="37"/>
      <c r="E90" s="37"/>
      <c r="F90" s="2"/>
      <c r="G90" s="65"/>
      <c r="H90" s="65"/>
      <c r="N90" s="65"/>
      <c r="U90" s="65"/>
    </row>
    <row r="91" spans="3:31" x14ac:dyDescent="0.3">
      <c r="C91" s="2"/>
      <c r="D91" s="37"/>
      <c r="E91" s="37"/>
      <c r="F91" s="2"/>
      <c r="J91" s="80"/>
      <c r="K91" s="80"/>
      <c r="Q91" s="80"/>
      <c r="U91" s="65"/>
    </row>
    <row r="92" spans="3:31" x14ac:dyDescent="0.3">
      <c r="C92" s="2"/>
      <c r="D92" s="37"/>
      <c r="E92" s="37"/>
      <c r="F92" s="2"/>
    </row>
    <row r="93" spans="3:31" x14ac:dyDescent="0.3">
      <c r="C93" s="2"/>
      <c r="D93" s="37"/>
      <c r="E93" s="37"/>
      <c r="F93" s="2"/>
    </row>
    <row r="94" spans="3:31" x14ac:dyDescent="0.3">
      <c r="C94" s="2"/>
      <c r="D94" s="37"/>
      <c r="E94" s="37"/>
      <c r="F94" s="2"/>
      <c r="S94" s="79"/>
      <c r="T94" s="79"/>
      <c r="U94" s="79"/>
      <c r="V94" s="79"/>
      <c r="W94" s="79"/>
      <c r="X94" s="79"/>
    </row>
    <row r="95" spans="3:31" x14ac:dyDescent="0.3">
      <c r="C95" s="2"/>
      <c r="D95" s="37"/>
      <c r="E95" s="37"/>
      <c r="F95" s="2"/>
      <c r="X95" s="70"/>
    </row>
    <row r="96" spans="3:31" x14ac:dyDescent="0.3">
      <c r="C96" s="2"/>
      <c r="D96" s="37"/>
      <c r="E96" s="37"/>
      <c r="F96" s="2"/>
      <c r="X96" s="70"/>
      <c r="AD96" s="70"/>
      <c r="AE96" s="70"/>
    </row>
    <row r="97" spans="3:17" x14ac:dyDescent="0.3">
      <c r="C97" s="2"/>
      <c r="D97" s="37"/>
      <c r="E97" s="37"/>
      <c r="F97" s="2"/>
      <c r="G97" s="65"/>
      <c r="H97" s="65"/>
      <c r="N97" s="65"/>
    </row>
    <row r="98" spans="3:17" x14ac:dyDescent="0.3">
      <c r="C98" s="2"/>
      <c r="D98" s="37"/>
      <c r="E98" s="37"/>
      <c r="F98" s="2"/>
      <c r="G98" s="65"/>
      <c r="H98" s="65"/>
      <c r="J98" s="80"/>
      <c r="K98" s="80"/>
      <c r="N98" s="65"/>
      <c r="Q98" s="80"/>
    </row>
    <row r="99" spans="3:17" x14ac:dyDescent="0.3">
      <c r="C99" s="2"/>
      <c r="D99" s="37"/>
      <c r="E99" s="37"/>
      <c r="F99" s="2"/>
      <c r="G99" s="65"/>
      <c r="H99" s="65"/>
      <c r="N99" s="65"/>
    </row>
    <row r="100" spans="3:17" x14ac:dyDescent="0.3">
      <c r="C100" s="2"/>
      <c r="D100" s="37"/>
      <c r="E100" s="37"/>
      <c r="F100" s="2"/>
    </row>
    <row r="101" spans="3:17" x14ac:dyDescent="0.3">
      <c r="C101" s="2"/>
      <c r="D101" s="37"/>
      <c r="E101" s="37"/>
      <c r="F101" s="2"/>
    </row>
    <row r="102" spans="3:17" x14ac:dyDescent="0.3">
      <c r="C102" s="2"/>
      <c r="D102" s="37"/>
      <c r="E102" s="37"/>
      <c r="F102" s="2"/>
    </row>
    <row r="103" spans="3:17" x14ac:dyDescent="0.3">
      <c r="C103" s="2"/>
      <c r="D103" s="37"/>
      <c r="E103" s="37"/>
      <c r="F103" s="2"/>
    </row>
    <row r="104" spans="3:17" x14ac:dyDescent="0.3">
      <c r="C104" s="2"/>
      <c r="D104" s="37"/>
      <c r="E104" s="37"/>
      <c r="F104" s="2"/>
    </row>
    <row r="105" spans="3:17" x14ac:dyDescent="0.3">
      <c r="C105" s="2"/>
      <c r="D105" s="37"/>
      <c r="E105" s="37"/>
    </row>
    <row r="110" spans="3:17" x14ac:dyDescent="0.3">
      <c r="C110" s="2"/>
      <c r="D110" s="107"/>
      <c r="E110" s="83"/>
      <c r="G110" s="107"/>
      <c r="J110" s="107"/>
    </row>
    <row r="111" spans="3:17" x14ac:dyDescent="0.3">
      <c r="C111" s="2"/>
      <c r="D111" s="2"/>
      <c r="E111" s="2"/>
      <c r="F111" s="2"/>
      <c r="G111" s="37"/>
      <c r="I111" s="2"/>
      <c r="J111" s="37"/>
    </row>
    <row r="112" spans="3:17" x14ac:dyDescent="0.3">
      <c r="C112" s="2"/>
      <c r="D112" s="37"/>
      <c r="E112" s="37"/>
      <c r="F112" s="2"/>
    </row>
    <row r="113" spans="3:31" x14ac:dyDescent="0.3">
      <c r="C113" s="2"/>
      <c r="D113" s="37"/>
      <c r="E113" s="37"/>
      <c r="F113" s="2"/>
    </row>
    <row r="114" spans="3:31" x14ac:dyDescent="0.3">
      <c r="C114" s="2"/>
      <c r="D114" s="37"/>
      <c r="E114" s="37"/>
      <c r="F114" s="2"/>
      <c r="G114" s="79"/>
      <c r="H114" s="79"/>
      <c r="I114" s="79"/>
      <c r="J114" s="79"/>
      <c r="K114" s="79"/>
      <c r="M114" s="79"/>
      <c r="N114" s="79"/>
      <c r="P114" s="79"/>
      <c r="Q114" s="79"/>
    </row>
    <row r="115" spans="3:31" x14ac:dyDescent="0.3">
      <c r="C115" s="2"/>
      <c r="D115" s="37"/>
      <c r="E115" s="37"/>
      <c r="F115" s="2"/>
      <c r="G115" s="65"/>
      <c r="H115" s="65"/>
      <c r="N115" s="65"/>
      <c r="S115" s="79"/>
      <c r="T115" s="79"/>
      <c r="U115" s="79"/>
      <c r="V115" s="79"/>
      <c r="W115" s="79"/>
      <c r="X115" s="79"/>
      <c r="Y115" s="79"/>
      <c r="Z115" s="79"/>
      <c r="AA115" s="79"/>
      <c r="AD115" s="65"/>
      <c r="AE115" s="65"/>
    </row>
    <row r="116" spans="3:31" x14ac:dyDescent="0.3">
      <c r="C116" s="2"/>
      <c r="D116" s="37"/>
      <c r="E116" s="37"/>
      <c r="F116" s="2"/>
      <c r="U116" s="65"/>
    </row>
    <row r="117" spans="3:31" x14ac:dyDescent="0.3">
      <c r="C117" s="2"/>
      <c r="D117" s="37"/>
      <c r="E117" s="37"/>
      <c r="F117" s="2"/>
      <c r="G117" s="65"/>
      <c r="H117" s="65"/>
      <c r="N117" s="65"/>
      <c r="U117" s="65"/>
    </row>
    <row r="118" spans="3:31" x14ac:dyDescent="0.3">
      <c r="C118" s="2"/>
      <c r="D118" s="37"/>
      <c r="E118" s="37"/>
      <c r="F118" s="2"/>
      <c r="J118" s="80"/>
      <c r="K118" s="80"/>
      <c r="Q118" s="80"/>
      <c r="U118" s="65"/>
    </row>
    <row r="119" spans="3:31" x14ac:dyDescent="0.3">
      <c r="C119" s="2"/>
      <c r="D119" s="37"/>
      <c r="E119" s="37"/>
      <c r="F119" s="2"/>
    </row>
    <row r="120" spans="3:31" x14ac:dyDescent="0.3">
      <c r="C120" s="2"/>
      <c r="D120" s="37"/>
      <c r="E120" s="37"/>
      <c r="F120" s="2"/>
    </row>
    <row r="121" spans="3:31" x14ac:dyDescent="0.3">
      <c r="C121" s="2"/>
      <c r="D121" s="37"/>
      <c r="E121" s="37"/>
      <c r="F121" s="2"/>
      <c r="S121" s="79"/>
      <c r="T121" s="79"/>
      <c r="U121" s="79"/>
      <c r="V121" s="79"/>
      <c r="W121" s="79"/>
      <c r="X121" s="79"/>
    </row>
    <row r="122" spans="3:31" x14ac:dyDescent="0.3">
      <c r="C122" s="2"/>
      <c r="D122" s="37"/>
      <c r="E122" s="37"/>
      <c r="F122" s="2"/>
      <c r="X122" s="70"/>
    </row>
    <row r="123" spans="3:31" x14ac:dyDescent="0.3">
      <c r="C123" s="2"/>
      <c r="D123" s="37"/>
      <c r="E123" s="37"/>
      <c r="F123" s="2"/>
      <c r="X123" s="70"/>
      <c r="AD123" s="70"/>
      <c r="AE123" s="70"/>
    </row>
    <row r="124" spans="3:31" x14ac:dyDescent="0.3">
      <c r="C124" s="2"/>
      <c r="D124" s="37"/>
      <c r="E124" s="37"/>
      <c r="F124" s="2"/>
      <c r="G124" s="65"/>
      <c r="H124" s="65"/>
      <c r="N124" s="65"/>
    </row>
    <row r="125" spans="3:31" x14ac:dyDescent="0.3">
      <c r="C125" s="2"/>
      <c r="D125" s="37"/>
      <c r="E125" s="37"/>
      <c r="F125" s="2"/>
      <c r="G125" s="65"/>
      <c r="H125" s="65"/>
      <c r="J125" s="80"/>
      <c r="K125" s="80"/>
      <c r="N125" s="65"/>
      <c r="Q125" s="80"/>
    </row>
    <row r="126" spans="3:31" x14ac:dyDescent="0.3">
      <c r="C126" s="2"/>
      <c r="D126" s="37"/>
      <c r="E126" s="37"/>
      <c r="F126" s="2"/>
      <c r="G126" s="65"/>
      <c r="H126" s="65"/>
      <c r="N126" s="65"/>
    </row>
    <row r="127" spans="3:31" x14ac:dyDescent="0.3">
      <c r="C127" s="2"/>
      <c r="D127" s="37"/>
      <c r="E127" s="37"/>
      <c r="F127" s="2"/>
    </row>
    <row r="128" spans="3:31" x14ac:dyDescent="0.3">
      <c r="C128" s="2"/>
      <c r="D128" s="37"/>
      <c r="E128" s="37"/>
      <c r="F128" s="2"/>
    </row>
    <row r="129" spans="3:31" x14ac:dyDescent="0.3">
      <c r="C129" s="2"/>
      <c r="D129" s="37"/>
      <c r="E129" s="37"/>
      <c r="F129" s="2"/>
    </row>
    <row r="130" spans="3:31" x14ac:dyDescent="0.3">
      <c r="C130" s="2"/>
      <c r="D130" s="37"/>
      <c r="E130" s="37"/>
      <c r="F130" s="2"/>
    </row>
    <row r="131" spans="3:31" x14ac:dyDescent="0.3">
      <c r="C131" s="2"/>
      <c r="D131" s="37"/>
      <c r="E131" s="37"/>
      <c r="F131" s="2"/>
    </row>
    <row r="132" spans="3:31" x14ac:dyDescent="0.3">
      <c r="C132" s="2"/>
      <c r="D132" s="37"/>
      <c r="E132" s="37"/>
    </row>
    <row r="136" spans="3:31" x14ac:dyDescent="0.3">
      <c r="C136" s="2"/>
      <c r="D136" s="107"/>
      <c r="E136" s="83"/>
      <c r="G136" s="107"/>
      <c r="J136" s="107"/>
    </row>
    <row r="137" spans="3:31" x14ac:dyDescent="0.3">
      <c r="C137" s="2"/>
      <c r="D137" s="2"/>
      <c r="E137" s="2"/>
      <c r="F137" s="2"/>
      <c r="G137" s="37"/>
      <c r="I137" s="2"/>
      <c r="J137" s="37"/>
    </row>
    <row r="138" spans="3:31" x14ac:dyDescent="0.3">
      <c r="C138" s="2"/>
      <c r="D138" s="37"/>
      <c r="E138" s="37"/>
      <c r="F138" s="2"/>
    </row>
    <row r="139" spans="3:31" x14ac:dyDescent="0.3">
      <c r="C139" s="2"/>
      <c r="D139" s="37"/>
      <c r="E139" s="37"/>
      <c r="F139" s="2"/>
    </row>
    <row r="140" spans="3:31" x14ac:dyDescent="0.3">
      <c r="C140" s="2"/>
      <c r="D140" s="37"/>
      <c r="E140" s="37"/>
      <c r="F140" s="2"/>
      <c r="G140" s="79"/>
      <c r="H140" s="79"/>
      <c r="I140" s="79"/>
      <c r="J140" s="79"/>
      <c r="K140" s="79"/>
      <c r="M140" s="79"/>
      <c r="N140" s="79"/>
      <c r="P140" s="79"/>
      <c r="Q140" s="79"/>
    </row>
    <row r="141" spans="3:31" x14ac:dyDescent="0.3">
      <c r="C141" s="2"/>
      <c r="D141" s="37"/>
      <c r="E141" s="37"/>
      <c r="F141" s="2"/>
      <c r="G141" s="65"/>
      <c r="H141" s="65"/>
      <c r="N141" s="65"/>
      <c r="S141" s="79"/>
      <c r="T141" s="79"/>
      <c r="U141" s="79"/>
      <c r="V141" s="79"/>
      <c r="W141" s="79"/>
      <c r="X141" s="79"/>
      <c r="Y141" s="79"/>
      <c r="Z141" s="79"/>
      <c r="AA141" s="79"/>
      <c r="AD141" s="65"/>
      <c r="AE141" s="65"/>
    </row>
    <row r="142" spans="3:31" x14ac:dyDescent="0.3">
      <c r="C142" s="2"/>
      <c r="D142" s="37"/>
      <c r="E142" s="37"/>
      <c r="F142" s="2"/>
      <c r="U142" s="65"/>
    </row>
    <row r="143" spans="3:31" x14ac:dyDescent="0.3">
      <c r="C143" s="2"/>
      <c r="D143" s="37"/>
      <c r="E143" s="37"/>
      <c r="F143" s="2"/>
      <c r="G143" s="65"/>
      <c r="H143" s="65"/>
      <c r="N143" s="65"/>
      <c r="U143" s="65"/>
    </row>
    <row r="144" spans="3:31" x14ac:dyDescent="0.3">
      <c r="C144" s="2"/>
      <c r="D144" s="37"/>
      <c r="E144" s="37"/>
      <c r="F144" s="2"/>
      <c r="J144" s="80"/>
      <c r="K144" s="80"/>
      <c r="Q144" s="80"/>
      <c r="U144" s="65"/>
    </row>
    <row r="145" spans="3:31" x14ac:dyDescent="0.3">
      <c r="C145" s="2"/>
      <c r="D145" s="37"/>
      <c r="E145" s="37"/>
      <c r="F145" s="2"/>
    </row>
    <row r="146" spans="3:31" x14ac:dyDescent="0.3">
      <c r="C146" s="2"/>
      <c r="D146" s="37"/>
      <c r="E146" s="37"/>
      <c r="F146" s="2"/>
    </row>
    <row r="147" spans="3:31" x14ac:dyDescent="0.3">
      <c r="C147" s="2"/>
      <c r="D147" s="37"/>
      <c r="E147" s="37"/>
      <c r="F147" s="2"/>
      <c r="S147" s="79"/>
      <c r="T147" s="79"/>
      <c r="U147" s="79"/>
      <c r="V147" s="79"/>
      <c r="W147" s="79"/>
      <c r="X147" s="79"/>
    </row>
    <row r="148" spans="3:31" x14ac:dyDescent="0.3">
      <c r="C148" s="2"/>
      <c r="D148" s="37"/>
      <c r="E148" s="37"/>
      <c r="F148" s="2"/>
      <c r="X148" s="70"/>
    </row>
    <row r="149" spans="3:31" x14ac:dyDescent="0.3">
      <c r="C149" s="2"/>
      <c r="D149" s="37"/>
      <c r="E149" s="37"/>
      <c r="F149" s="2"/>
      <c r="X149" s="70"/>
      <c r="AD149" s="70"/>
      <c r="AE149" s="70"/>
    </row>
    <row r="150" spans="3:31" x14ac:dyDescent="0.3">
      <c r="C150" s="2"/>
      <c r="D150" s="37"/>
      <c r="E150" s="37"/>
      <c r="F150" s="2"/>
      <c r="G150" s="65"/>
      <c r="H150" s="65"/>
      <c r="N150" s="65"/>
    </row>
    <row r="151" spans="3:31" x14ac:dyDescent="0.3">
      <c r="C151" s="2"/>
      <c r="D151" s="37"/>
      <c r="E151" s="37"/>
      <c r="F151" s="2"/>
      <c r="G151" s="65"/>
      <c r="H151" s="65"/>
      <c r="J151" s="80"/>
      <c r="K151" s="80"/>
      <c r="N151" s="65"/>
      <c r="Q151" s="80"/>
    </row>
    <row r="152" spans="3:31" x14ac:dyDescent="0.3">
      <c r="C152" s="2"/>
      <c r="D152" s="37"/>
      <c r="E152" s="37"/>
      <c r="F152" s="2"/>
      <c r="G152" s="65"/>
      <c r="H152" s="65"/>
      <c r="N152" s="65"/>
    </row>
    <row r="153" spans="3:31" x14ac:dyDescent="0.3">
      <c r="C153" s="2"/>
      <c r="D153" s="37"/>
      <c r="E153" s="37"/>
      <c r="F153" s="2"/>
    </row>
    <row r="154" spans="3:31" x14ac:dyDescent="0.3">
      <c r="C154" s="2"/>
      <c r="D154" s="37"/>
      <c r="E154" s="37"/>
      <c r="F154" s="2"/>
    </row>
    <row r="155" spans="3:31" x14ac:dyDescent="0.3">
      <c r="C155" s="2"/>
      <c r="D155" s="37"/>
      <c r="E155" s="37"/>
      <c r="F155" s="2"/>
    </row>
    <row r="156" spans="3:31" x14ac:dyDescent="0.3">
      <c r="C156" s="2"/>
      <c r="D156" s="37"/>
      <c r="E156" s="37"/>
      <c r="F156" s="2"/>
    </row>
    <row r="157" spans="3:31" x14ac:dyDescent="0.3">
      <c r="C157" s="2"/>
      <c r="D157" s="37"/>
      <c r="E157" s="37"/>
      <c r="F157" s="2"/>
    </row>
    <row r="158" spans="3:31" x14ac:dyDescent="0.3">
      <c r="C158" s="2"/>
      <c r="D158" s="37"/>
      <c r="E158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2AD2-4856-4D56-93DA-CBBF225DD06C}">
  <sheetPr>
    <tabColor theme="7" tint="0.59999389629810485"/>
  </sheetPr>
  <dimension ref="C2:P32"/>
  <sheetViews>
    <sheetView topLeftCell="A6" zoomScale="96" zoomScaleNormal="100" workbookViewId="0">
      <selection activeCell="G28" sqref="G28"/>
    </sheetView>
  </sheetViews>
  <sheetFormatPr defaultRowHeight="14.4" x14ac:dyDescent="0.3"/>
  <cols>
    <col min="4" max="4" width="12" customWidth="1"/>
    <col min="9" max="9" width="12.109375" customWidth="1"/>
  </cols>
  <sheetData>
    <row r="2" spans="3:16" x14ac:dyDescent="0.3">
      <c r="C2" s="2"/>
      <c r="D2" s="2" t="s">
        <v>167</v>
      </c>
      <c r="E2" s="2"/>
    </row>
    <row r="3" spans="3:16" x14ac:dyDescent="0.3">
      <c r="C3" s="2"/>
      <c r="D3" s="2"/>
      <c r="E3" s="2"/>
      <c r="F3" s="2"/>
      <c r="G3" s="106"/>
      <c r="I3" s="2"/>
      <c r="J3" s="106"/>
      <c r="L3" s="2"/>
      <c r="M3" s="106"/>
      <c r="O3" s="2"/>
      <c r="P3" s="106"/>
    </row>
    <row r="4" spans="3:16" x14ac:dyDescent="0.3">
      <c r="C4" s="2" t="s">
        <v>285</v>
      </c>
      <c r="D4" s="106" cm="1">
        <f t="array" aca="1" ref="D4" ca="1">INDIRECT("'" &amp; C4 &amp; "'!$l$145")</f>
        <v>0</v>
      </c>
      <c r="E4" s="106" cm="1">
        <f t="array" aca="1" ref="E4" ca="1">INDIRECT("'" &amp; C4 &amp; "'!$m$145")</f>
        <v>0</v>
      </c>
      <c r="F4" s="2"/>
      <c r="G4" s="2"/>
      <c r="H4" s="106"/>
      <c r="I4" s="106"/>
      <c r="L4" s="2"/>
      <c r="M4" s="106"/>
      <c r="O4" s="2"/>
      <c r="P4" s="106"/>
    </row>
    <row r="5" spans="3:16" x14ac:dyDescent="0.3">
      <c r="C5" s="2" t="s">
        <v>286</v>
      </c>
      <c r="D5" s="106" cm="1">
        <f t="array" aca="1" ref="D5" ca="1">INDIRECT("'" &amp; C5 &amp; "'!$l$145")</f>
        <v>0</v>
      </c>
      <c r="E5" s="106" cm="1">
        <f t="array" aca="1" ref="E5" ca="1">INDIRECT("'" &amp; C5 &amp; "'!$m$145")</f>
        <v>0.5</v>
      </c>
      <c r="F5" s="2"/>
      <c r="G5" s="2"/>
      <c r="H5" s="106"/>
      <c r="I5" s="106"/>
      <c r="J5" s="106"/>
      <c r="L5" s="2"/>
      <c r="M5" s="106"/>
      <c r="O5" s="2"/>
      <c r="P5" s="106"/>
    </row>
    <row r="6" spans="3:16" x14ac:dyDescent="0.3">
      <c r="C6" s="2" t="s">
        <v>287</v>
      </c>
      <c r="D6" s="106" cm="1">
        <f t="array" aca="1" ref="D6" ca="1">INDIRECT("'" &amp; C6 &amp; "'!$l$145")</f>
        <v>0.66666666666666663</v>
      </c>
      <c r="E6" s="106" cm="1">
        <f t="array" aca="1" ref="E6" ca="1">INDIRECT("'" &amp; C6 &amp; "'!$m$145")</f>
        <v>0.66666666666666663</v>
      </c>
      <c r="F6" s="2"/>
      <c r="G6" s="2"/>
      <c r="H6" s="106"/>
      <c r="I6" s="106"/>
      <c r="J6" s="106"/>
      <c r="L6" s="2"/>
      <c r="M6" s="106"/>
      <c r="O6" s="2"/>
      <c r="P6" s="106"/>
    </row>
    <row r="7" spans="3:16" x14ac:dyDescent="0.3">
      <c r="C7" s="2" t="s">
        <v>288</v>
      </c>
      <c r="D7" s="106" cm="1">
        <f t="array" aca="1" ref="D7" ca="1">INDIRECT("'" &amp; C7 &amp; "'!$l$145")</f>
        <v>0</v>
      </c>
      <c r="E7" s="106" cm="1">
        <f t="array" aca="1" ref="E7" ca="1">INDIRECT("'" &amp; C7 &amp; "'!$m$145")</f>
        <v>0</v>
      </c>
      <c r="F7" s="2"/>
      <c r="G7" s="2"/>
      <c r="H7" s="106"/>
      <c r="I7" s="106"/>
      <c r="J7" s="106"/>
      <c r="L7" s="2"/>
      <c r="M7" s="106"/>
      <c r="O7" s="2"/>
      <c r="P7" s="106"/>
    </row>
    <row r="8" spans="3:16" x14ac:dyDescent="0.3">
      <c r="C8" s="2" t="s">
        <v>289</v>
      </c>
      <c r="D8" s="106" cm="1">
        <f t="array" aca="1" ref="D8" ca="1">INDIRECT("'" &amp; C8 &amp; "'!$l$145")</f>
        <v>0.16666666666666666</v>
      </c>
      <c r="E8" s="106" cm="1">
        <f t="array" aca="1" ref="E8" ca="1">INDIRECT("'" &amp; C8 &amp; "'!$m$145")</f>
        <v>0.16666666666666666</v>
      </c>
      <c r="F8" s="2"/>
      <c r="G8" s="2"/>
      <c r="H8" s="106"/>
      <c r="I8" s="106"/>
      <c r="J8" s="106"/>
      <c r="L8" s="2"/>
      <c r="M8" s="106"/>
      <c r="O8" s="2"/>
      <c r="P8" s="106"/>
    </row>
    <row r="9" spans="3:16" x14ac:dyDescent="0.3">
      <c r="C9" s="2" t="s">
        <v>290</v>
      </c>
      <c r="D9" s="106" cm="1">
        <f t="array" aca="1" ref="D9" ca="1">INDIRECT("'" &amp; C9 &amp; "'!$l$145")</f>
        <v>0</v>
      </c>
      <c r="E9" s="106" cm="1">
        <f t="array" aca="1" ref="E9" ca="1">INDIRECT("'" &amp; C9 &amp; "'!$m$145")</f>
        <v>0</v>
      </c>
      <c r="F9" s="2"/>
      <c r="G9" s="2"/>
      <c r="H9" s="106"/>
      <c r="I9" s="106"/>
      <c r="J9" s="106"/>
      <c r="L9" s="2"/>
      <c r="M9" s="106"/>
      <c r="O9" s="2"/>
      <c r="P9" s="106"/>
    </row>
    <row r="10" spans="3:16" x14ac:dyDescent="0.3">
      <c r="C10" s="2" t="s">
        <v>291</v>
      </c>
      <c r="D10" s="106" cm="1">
        <f t="array" aca="1" ref="D10" ca="1">INDIRECT("'" &amp; C10 &amp; "'!$l$145")</f>
        <v>0</v>
      </c>
      <c r="E10" s="106" cm="1">
        <f t="array" aca="1" ref="E10" ca="1">INDIRECT("'" &amp; C10 &amp; "'!$m$145")</f>
        <v>0</v>
      </c>
      <c r="F10" s="2"/>
      <c r="G10" s="2"/>
      <c r="H10" s="106"/>
      <c r="I10" s="106"/>
      <c r="J10" s="106"/>
      <c r="L10" s="2"/>
      <c r="M10" s="106"/>
      <c r="O10" s="2"/>
      <c r="P10" s="106"/>
    </row>
    <row r="11" spans="3:16" x14ac:dyDescent="0.3">
      <c r="C11" s="2" t="s">
        <v>292</v>
      </c>
      <c r="D11" s="106" cm="1">
        <f t="array" aca="1" ref="D11" ca="1">INDIRECT("'" &amp; C11 &amp; "'!$l$145")</f>
        <v>0</v>
      </c>
      <c r="E11" s="106" cm="1">
        <f t="array" aca="1" ref="E11" ca="1">INDIRECT("'" &amp; C11 &amp; "'!$m$145")</f>
        <v>0</v>
      </c>
      <c r="F11" s="2"/>
      <c r="G11" s="106"/>
      <c r="I11" s="2"/>
      <c r="J11" s="106"/>
      <c r="L11" s="2"/>
      <c r="M11" s="106"/>
      <c r="O11" s="2"/>
      <c r="P11" s="106"/>
    </row>
    <row r="12" spans="3:16" x14ac:dyDescent="0.3">
      <c r="C12" s="2" t="s">
        <v>293</v>
      </c>
      <c r="D12" s="106" cm="1">
        <f t="array" aca="1" ref="D12" ca="1">INDIRECT("'" &amp; C12 &amp; "'!$l$145")</f>
        <v>0</v>
      </c>
      <c r="E12" s="106" cm="1">
        <f t="array" aca="1" ref="E12" ca="1">INDIRECT("'" &amp; C12 &amp; "'!$m$145")</f>
        <v>0</v>
      </c>
      <c r="F12" s="2"/>
      <c r="G12" s="2"/>
      <c r="H12" s="106"/>
      <c r="I12" s="106"/>
      <c r="J12" s="106"/>
      <c r="L12" s="2"/>
      <c r="M12" s="106"/>
      <c r="O12" s="2"/>
      <c r="P12" s="106"/>
    </row>
    <row r="13" spans="3:16" x14ac:dyDescent="0.3">
      <c r="C13" s="2" t="s">
        <v>294</v>
      </c>
      <c r="D13" s="106" cm="1">
        <f t="array" aca="1" ref="D13" ca="1">INDIRECT("'" &amp; C13 &amp; "'!$l$145")</f>
        <v>0.33333333333333331</v>
      </c>
      <c r="E13" s="106" cm="1">
        <f t="array" aca="1" ref="E13" ca="1">INDIRECT("'" &amp; C13 &amp; "'!$m$145")</f>
        <v>0.66666666666666663</v>
      </c>
      <c r="F13" s="2"/>
      <c r="G13" s="2"/>
      <c r="H13" s="106"/>
      <c r="I13" s="106"/>
      <c r="J13" s="106"/>
      <c r="L13" s="2"/>
      <c r="M13" s="106"/>
      <c r="O13" s="2"/>
      <c r="P13" s="106"/>
    </row>
    <row r="14" spans="3:16" x14ac:dyDescent="0.3">
      <c r="C14" s="2" t="s">
        <v>295</v>
      </c>
      <c r="D14" s="106" cm="1">
        <f t="array" aca="1" ref="D14" ca="1">INDIRECT("'" &amp; C14 &amp; "'!$l$145")</f>
        <v>0</v>
      </c>
      <c r="E14" s="106" cm="1">
        <f t="array" aca="1" ref="E14" ca="1">INDIRECT("'" &amp; C14 &amp; "'!$m$145")</f>
        <v>0</v>
      </c>
      <c r="F14" s="2"/>
      <c r="G14" s="106"/>
      <c r="I14" s="2"/>
      <c r="J14" s="106"/>
      <c r="L14" s="2"/>
      <c r="M14" s="106"/>
      <c r="O14" s="2"/>
      <c r="P14" s="106"/>
    </row>
    <row r="15" spans="3:16" x14ac:dyDescent="0.3">
      <c r="C15" s="2" t="s">
        <v>296</v>
      </c>
      <c r="D15" s="106" cm="1">
        <f t="array" aca="1" ref="D15" ca="1">INDIRECT("'" &amp; C15 &amp; "'!$l$145")</f>
        <v>0</v>
      </c>
      <c r="E15" s="106" cm="1">
        <f t="array" aca="1" ref="E15" ca="1">INDIRECT("'" &amp; C15 &amp; "'!$m$145")</f>
        <v>0</v>
      </c>
      <c r="F15" s="2"/>
      <c r="G15" s="106"/>
      <c r="J15" s="106"/>
      <c r="L15" s="2"/>
      <c r="M15" s="106"/>
      <c r="O15" s="2"/>
      <c r="P15" s="106"/>
    </row>
    <row r="16" spans="3:16" x14ac:dyDescent="0.3">
      <c r="C16" s="2" t="s">
        <v>297</v>
      </c>
      <c r="D16" s="106" cm="1">
        <f t="array" aca="1" ref="D16" ca="1">INDIRECT("'" &amp; C16 &amp; "'!$l$145")</f>
        <v>0</v>
      </c>
      <c r="E16" s="106" cm="1">
        <f t="array" aca="1" ref="E16" ca="1">INDIRECT("'" &amp; C16 &amp; "'!$m$145")</f>
        <v>0</v>
      </c>
      <c r="F16" s="2"/>
      <c r="G16" s="106"/>
      <c r="I16" s="2"/>
      <c r="J16" s="106"/>
      <c r="L16" s="2"/>
      <c r="M16" s="106"/>
      <c r="O16" s="2"/>
      <c r="P16" s="106"/>
    </row>
    <row r="17" spans="3:16" x14ac:dyDescent="0.3">
      <c r="C17" s="2" t="s">
        <v>298</v>
      </c>
      <c r="D17" s="106" cm="1">
        <f t="array" aca="1" ref="D17" ca="1">INDIRECT("'" &amp; C17 &amp; "'!$l$145")</f>
        <v>0</v>
      </c>
      <c r="E17" s="106" cm="1">
        <f t="array" aca="1" ref="E17" ca="1">INDIRECT("'" &amp; C17 &amp; "'!$m$145")</f>
        <v>0</v>
      </c>
      <c r="F17" s="2"/>
      <c r="G17" s="106"/>
      <c r="I17" s="2"/>
      <c r="J17" s="106"/>
      <c r="L17" s="2"/>
      <c r="M17" s="106"/>
      <c r="O17" s="2"/>
      <c r="P17" s="106"/>
    </row>
    <row r="18" spans="3:16" x14ac:dyDescent="0.3">
      <c r="C18" s="2" t="s">
        <v>299</v>
      </c>
      <c r="D18" s="106" cm="1">
        <f t="array" aca="1" ref="D18" ca="1">INDIRECT("'" &amp; C18 &amp; "'!$l$145")</f>
        <v>0</v>
      </c>
      <c r="E18" s="106" cm="1">
        <f t="array" aca="1" ref="E18" ca="1">INDIRECT("'" &amp; C18 &amp; "'!$m$145")</f>
        <v>0</v>
      </c>
      <c r="F18" s="2"/>
      <c r="G18" s="106"/>
      <c r="I18" s="2"/>
      <c r="J18" s="106"/>
      <c r="L18" s="2"/>
      <c r="M18" s="106"/>
      <c r="O18" s="2"/>
      <c r="P18" s="106"/>
    </row>
    <row r="19" spans="3:16" x14ac:dyDescent="0.3">
      <c r="C19" s="2" t="s">
        <v>395</v>
      </c>
      <c r="D19" s="106" cm="1">
        <f t="array" aca="1" ref="D19" ca="1">INDIRECT("'" &amp; C19 &amp; "'!$l$145")</f>
        <v>0</v>
      </c>
      <c r="E19" s="106" cm="1">
        <f t="array" aca="1" ref="E19" ca="1">INDIRECT("'" &amp; C19 &amp; "'!$m$145")</f>
        <v>0</v>
      </c>
      <c r="F19" s="2"/>
      <c r="G19" s="106"/>
      <c r="I19" s="2"/>
      <c r="J19" s="106"/>
      <c r="L19" s="2"/>
      <c r="M19" s="106"/>
      <c r="O19" s="2"/>
      <c r="P19" s="106"/>
    </row>
    <row r="20" spans="3:16" x14ac:dyDescent="0.3">
      <c r="C20" s="2" t="s">
        <v>396</v>
      </c>
      <c r="D20" s="106" cm="1">
        <f t="array" aca="1" ref="D20" ca="1">INDIRECT("'" &amp; C20 &amp; "'!$l$145")</f>
        <v>0</v>
      </c>
      <c r="E20" s="106" cm="1">
        <f t="array" aca="1" ref="E20" ca="1">INDIRECT("'" &amp; C20 &amp; "'!$m$145")</f>
        <v>0</v>
      </c>
      <c r="F20" s="2"/>
      <c r="G20" s="106"/>
      <c r="I20" s="2"/>
      <c r="J20" s="106"/>
      <c r="L20" s="2"/>
      <c r="M20" s="106"/>
      <c r="O20" s="2"/>
      <c r="P20" s="106"/>
    </row>
    <row r="21" spans="3:16" x14ac:dyDescent="0.3">
      <c r="C21" s="2" t="s">
        <v>397</v>
      </c>
      <c r="D21" s="106" cm="1">
        <f t="array" aca="1" ref="D21" ca="1">INDIRECT("'" &amp; C21 &amp; "'!$l$145")</f>
        <v>0</v>
      </c>
      <c r="E21" s="106" cm="1">
        <f t="array" aca="1" ref="E21" ca="1">INDIRECT("'" &amp; C21 &amp; "'!$m$145")</f>
        <v>0</v>
      </c>
      <c r="F21" s="2"/>
      <c r="G21" s="106"/>
      <c r="I21" s="2"/>
      <c r="J21" s="106"/>
      <c r="L21" s="2"/>
      <c r="M21" s="106"/>
      <c r="O21" s="2"/>
      <c r="P21" s="106"/>
    </row>
    <row r="22" spans="3:16" x14ac:dyDescent="0.3">
      <c r="C22" s="2" t="s">
        <v>398</v>
      </c>
      <c r="D22" s="106" cm="1">
        <f t="array" aca="1" ref="D22" ca="1">INDIRECT("'" &amp; C22 &amp; "'!$l$145")</f>
        <v>0.16666666666666666</v>
      </c>
      <c r="E22" s="106" cm="1">
        <f t="array" aca="1" ref="E22" ca="1">INDIRECT("'" &amp; C22 &amp; "'!$m$145")</f>
        <v>0.16666666666666666</v>
      </c>
      <c r="F22" s="2"/>
      <c r="G22" s="106"/>
      <c r="I22" s="2"/>
      <c r="J22" s="106"/>
      <c r="L22" s="2"/>
      <c r="M22" s="106"/>
      <c r="O22" s="2"/>
      <c r="P22" s="106"/>
    </row>
    <row r="23" spans="3:16" x14ac:dyDescent="0.3">
      <c r="C23" s="2" t="s">
        <v>399</v>
      </c>
      <c r="D23" s="106" cm="1">
        <f t="array" aca="1" ref="D23" ca="1">INDIRECT("'" &amp; C23 &amp; "'!$l$145")</f>
        <v>0.5</v>
      </c>
      <c r="E23" s="106" cm="1">
        <f t="array" aca="1" ref="E23" ca="1">INDIRECT("'" &amp; C23 &amp; "'!$m$145")</f>
        <v>0.5</v>
      </c>
      <c r="F23" s="2"/>
      <c r="G23" s="106"/>
      <c r="I23" s="2"/>
      <c r="J23" s="106"/>
      <c r="L23" s="2"/>
      <c r="M23" s="106"/>
      <c r="O23" s="2"/>
      <c r="P23" s="106"/>
    </row>
    <row r="24" spans="3:16" x14ac:dyDescent="0.3">
      <c r="C24" s="2" t="s">
        <v>400</v>
      </c>
      <c r="D24" s="106" cm="1">
        <f t="array" aca="1" ref="D24" ca="1">INDIRECT("'" &amp; C24 &amp; "'!$l$145")</f>
        <v>0</v>
      </c>
      <c r="E24" s="106" cm="1">
        <f t="array" aca="1" ref="E24" ca="1">INDIRECT("'" &amp; C24 &amp; "'!$m$145")</f>
        <v>0</v>
      </c>
    </row>
    <row r="25" spans="3:16" x14ac:dyDescent="0.3">
      <c r="F25" s="2"/>
      <c r="G25" s="106"/>
      <c r="I25" s="2"/>
      <c r="J25" s="106"/>
      <c r="L25" s="2"/>
      <c r="M25" s="106"/>
      <c r="O25" s="2"/>
      <c r="P25" s="106"/>
    </row>
    <row r="26" spans="3:16" x14ac:dyDescent="0.3">
      <c r="C26">
        <v>0</v>
      </c>
      <c r="D26" s="128">
        <v>0.90476190476190477</v>
      </c>
      <c r="E26" s="128">
        <v>0.80952380952380953</v>
      </c>
      <c r="F26" s="2"/>
      <c r="G26" s="106"/>
      <c r="I26" s="2"/>
      <c r="J26" s="106"/>
      <c r="L26" s="2"/>
      <c r="M26" s="106"/>
      <c r="O26" s="2"/>
      <c r="P26" s="106"/>
    </row>
    <row r="27" spans="3:16" x14ac:dyDescent="0.3">
      <c r="C27">
        <v>1</v>
      </c>
      <c r="D27" s="128">
        <v>9.5238095238095233E-2</v>
      </c>
      <c r="E27" s="128">
        <v>0.19047619047619047</v>
      </c>
    </row>
    <row r="28" spans="3:16" x14ac:dyDescent="0.3">
      <c r="C28">
        <v>2</v>
      </c>
      <c r="D28" s="128">
        <v>0</v>
      </c>
      <c r="E28" s="128">
        <v>0</v>
      </c>
    </row>
    <row r="29" spans="3:16" x14ac:dyDescent="0.3">
      <c r="C29">
        <v>3</v>
      </c>
      <c r="D29" s="128">
        <v>0</v>
      </c>
      <c r="E29" s="128">
        <v>0</v>
      </c>
    </row>
    <row r="30" spans="3:16" x14ac:dyDescent="0.3">
      <c r="C30">
        <v>4</v>
      </c>
      <c r="D30" s="128">
        <v>0</v>
      </c>
      <c r="E30" s="128">
        <v>0</v>
      </c>
    </row>
    <row r="31" spans="3:16" x14ac:dyDescent="0.3">
      <c r="C31">
        <v>5</v>
      </c>
      <c r="D31" s="128">
        <v>0</v>
      </c>
      <c r="E31" s="128">
        <v>0</v>
      </c>
    </row>
    <row r="32" spans="3:16" x14ac:dyDescent="0.3">
      <c r="D32" s="2"/>
      <c r="E32" s="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6479-4001-40FC-A0C3-D273A7C07830}">
  <sheetPr>
    <tabColor theme="7" tint="0.59999389629810485"/>
  </sheetPr>
  <dimension ref="C2:P27"/>
  <sheetViews>
    <sheetView topLeftCell="A3" zoomScaleNormal="100" workbookViewId="0">
      <selection activeCell="D26" sqref="D26"/>
    </sheetView>
  </sheetViews>
  <sheetFormatPr defaultRowHeight="14.4" x14ac:dyDescent="0.3"/>
  <cols>
    <col min="4" max="4" width="12" customWidth="1"/>
    <col min="9" max="9" width="12.109375" customWidth="1"/>
  </cols>
  <sheetData>
    <row r="2" spans="3:16" x14ac:dyDescent="0.3">
      <c r="C2" s="2"/>
      <c r="D2" s="2" t="s">
        <v>421</v>
      </c>
      <c r="E2" s="2"/>
    </row>
    <row r="3" spans="3:16" x14ac:dyDescent="0.3">
      <c r="C3" s="2"/>
      <c r="D3" s="2"/>
      <c r="E3" s="2"/>
      <c r="F3" s="2"/>
      <c r="G3" s="106"/>
      <c r="I3" s="2"/>
      <c r="J3" s="106"/>
      <c r="L3" s="2"/>
      <c r="M3" s="106"/>
      <c r="O3" s="2"/>
      <c r="P3" s="106"/>
    </row>
    <row r="4" spans="3:16" x14ac:dyDescent="0.3">
      <c r="C4" s="2" t="s">
        <v>285</v>
      </c>
      <c r="D4" s="106" t="str" cm="1">
        <f t="array" aca="1" ref="D4" ca="1">INDIRECT("'" &amp; C4 &amp; "'!$q$36")</f>
        <v>si</v>
      </c>
      <c r="E4" s="106" t="str" cm="1">
        <f t="array" aca="1" ref="E4" ca="1">INDIRECT("'" &amp; C4 &amp; "'!$q$46")</f>
        <v>si</v>
      </c>
      <c r="F4" s="2"/>
      <c r="G4" s="2"/>
      <c r="H4" s="106"/>
      <c r="I4" s="106"/>
      <c r="L4" s="2"/>
      <c r="M4" s="106"/>
      <c r="O4" s="2"/>
      <c r="P4" s="106"/>
    </row>
    <row r="5" spans="3:16" x14ac:dyDescent="0.3">
      <c r="C5" s="2" t="s">
        <v>286</v>
      </c>
      <c r="D5" s="106" t="str" cm="1">
        <f t="array" aca="1" ref="D5" ca="1">INDIRECT("'" &amp; C5 &amp; "'!$q$36")</f>
        <v>si</v>
      </c>
      <c r="E5" s="106" t="str" cm="1">
        <f t="array" aca="1" ref="E5" ca="1">INDIRECT("'" &amp; C5 &amp; "'!$q$46")</f>
        <v>si</v>
      </c>
      <c r="F5" s="2"/>
      <c r="G5" s="2"/>
      <c r="H5" s="106"/>
      <c r="I5" s="106"/>
      <c r="J5" s="106"/>
      <c r="L5" s="2"/>
      <c r="M5" s="106"/>
      <c r="O5" s="2"/>
      <c r="P5" s="106"/>
    </row>
    <row r="6" spans="3:16" x14ac:dyDescent="0.3">
      <c r="C6" s="2" t="s">
        <v>287</v>
      </c>
      <c r="D6" s="106" t="str" cm="1">
        <f t="array" aca="1" ref="D6" ca="1">INDIRECT("'" &amp; C6 &amp; "'!$q$36")</f>
        <v>si</v>
      </c>
      <c r="E6" s="106" t="str" cm="1">
        <f t="array" aca="1" ref="E6" ca="1">INDIRECT("'" &amp; C6 &amp; "'!$q$46")</f>
        <v>no</v>
      </c>
      <c r="F6" s="2"/>
      <c r="G6" s="2"/>
      <c r="H6" s="106"/>
      <c r="I6" s="106"/>
      <c r="J6" s="106"/>
      <c r="L6" s="2"/>
      <c r="M6" s="106"/>
      <c r="O6" s="2"/>
      <c r="P6" s="106"/>
    </row>
    <row r="7" spans="3:16" x14ac:dyDescent="0.3">
      <c r="C7" s="2" t="s">
        <v>288</v>
      </c>
      <c r="D7" s="106" t="str" cm="1">
        <f t="array" aca="1" ref="D7" ca="1">INDIRECT("'" &amp; C7 &amp; "'!$q$36")</f>
        <v xml:space="preserve">si </v>
      </c>
      <c r="E7" s="106" t="str" cm="1">
        <f t="array" aca="1" ref="E7" ca="1">INDIRECT("'" &amp; C7 &amp; "'!$q$46")</f>
        <v>si</v>
      </c>
      <c r="F7" s="2"/>
      <c r="G7" s="2"/>
      <c r="H7" s="106"/>
      <c r="I7" s="106"/>
      <c r="J7" s="106"/>
      <c r="L7" s="2"/>
      <c r="M7" s="106"/>
      <c r="O7" s="2"/>
      <c r="P7" s="106"/>
    </row>
    <row r="8" spans="3:16" x14ac:dyDescent="0.3">
      <c r="C8" s="2" t="s">
        <v>289</v>
      </c>
      <c r="D8" s="106" t="str" cm="1">
        <f t="array" aca="1" ref="D8" ca="1">INDIRECT("'" &amp; C8 &amp; "'!$q$36")</f>
        <v>si</v>
      </c>
      <c r="E8" s="106" t="str" cm="1">
        <f t="array" aca="1" ref="E8" ca="1">INDIRECT("'" &amp; C8 &amp; "'!$q$46")</f>
        <v>no</v>
      </c>
      <c r="F8" s="2"/>
      <c r="G8" s="2"/>
      <c r="H8" s="106"/>
      <c r="I8" s="106"/>
      <c r="J8" s="106"/>
      <c r="L8" s="2"/>
      <c r="M8" s="106"/>
      <c r="O8" s="2"/>
      <c r="P8" s="106"/>
    </row>
    <row r="9" spans="3:16" x14ac:dyDescent="0.3">
      <c r="C9" s="2" t="s">
        <v>290</v>
      </c>
      <c r="D9" s="106" t="str" cm="1">
        <f t="array" aca="1" ref="D9" ca="1">INDIRECT("'" &amp; C9 &amp; "'!$q$36")</f>
        <v>si</v>
      </c>
      <c r="E9" s="106" t="str" cm="1">
        <f t="array" aca="1" ref="E9" ca="1">INDIRECT("'" &amp; C9 &amp; "'!$q$46")</f>
        <v>si</v>
      </c>
      <c r="F9" s="2"/>
      <c r="G9" s="2"/>
      <c r="H9" s="106"/>
      <c r="I9" s="106"/>
      <c r="J9" s="106"/>
      <c r="L9" s="2"/>
      <c r="M9" s="106"/>
      <c r="O9" s="2"/>
      <c r="P9" s="106"/>
    </row>
    <row r="10" spans="3:16" x14ac:dyDescent="0.3">
      <c r="C10" s="2" t="s">
        <v>291</v>
      </c>
      <c r="D10" s="106" t="str" cm="1">
        <f t="array" aca="1" ref="D10" ca="1">INDIRECT("'" &amp; C10 &amp; "'!$q$36")</f>
        <v>si</v>
      </c>
      <c r="E10" s="106" t="str" cm="1">
        <f t="array" aca="1" ref="E10" ca="1">INDIRECT("'" &amp; C10 &amp; "'!$q$46")</f>
        <v>si</v>
      </c>
      <c r="F10" s="2"/>
      <c r="G10" s="106"/>
      <c r="I10" s="2"/>
      <c r="J10" s="106"/>
      <c r="L10" s="2"/>
      <c r="M10" s="106"/>
      <c r="O10" s="2"/>
      <c r="P10" s="106"/>
    </row>
    <row r="11" spans="3:16" x14ac:dyDescent="0.3">
      <c r="C11" s="2" t="s">
        <v>292</v>
      </c>
      <c r="D11" s="106" t="str" cm="1">
        <f t="array" aca="1" ref="D11" ca="1">INDIRECT("'" &amp; C11 &amp; "'!$q$36")</f>
        <v>si</v>
      </c>
      <c r="E11" s="106" t="str" cm="1">
        <f t="array" aca="1" ref="E11" ca="1">INDIRECT("'" &amp; C11 &amp; "'!$q$46")</f>
        <v>si</v>
      </c>
      <c r="F11" s="2"/>
      <c r="G11" s="2"/>
      <c r="H11" s="106"/>
      <c r="I11" s="106"/>
      <c r="J11" s="106"/>
      <c r="L11" s="2"/>
      <c r="M11" s="106"/>
      <c r="O11" s="2"/>
      <c r="P11" s="106"/>
    </row>
    <row r="12" spans="3:16" x14ac:dyDescent="0.3">
      <c r="C12" s="2" t="s">
        <v>293</v>
      </c>
      <c r="D12" s="106" t="str" cm="1">
        <f t="array" aca="1" ref="D12" ca="1">INDIRECT("'" &amp; C12 &amp; "'!$q$36")</f>
        <v>si</v>
      </c>
      <c r="E12" s="106" t="str" cm="1">
        <f t="array" aca="1" ref="E12" ca="1">INDIRECT("'" &amp; C12 &amp; "'!$q$46")</f>
        <v>si</v>
      </c>
      <c r="F12" s="2"/>
      <c r="G12" s="2"/>
      <c r="H12" s="106"/>
      <c r="I12" s="106"/>
      <c r="J12" s="106"/>
      <c r="L12" s="2"/>
      <c r="M12" s="106"/>
      <c r="O12" s="2"/>
      <c r="P12" s="106"/>
    </row>
    <row r="13" spans="3:16" x14ac:dyDescent="0.3">
      <c r="C13" s="2" t="s">
        <v>294</v>
      </c>
      <c r="D13" s="106" t="str" cm="1">
        <f t="array" aca="1" ref="D13" ca="1">INDIRECT("'" &amp; C13 &amp; "'!$q$36")</f>
        <v>si</v>
      </c>
      <c r="E13" s="106" t="str" cm="1">
        <f t="array" aca="1" ref="E13" ca="1">INDIRECT("'" &amp; C13 &amp; "'!$q$46")</f>
        <v>si</v>
      </c>
      <c r="F13" s="2"/>
      <c r="J13" s="106"/>
      <c r="L13" s="2"/>
      <c r="M13" s="106"/>
      <c r="O13" s="2"/>
      <c r="P13" s="106"/>
    </row>
    <row r="14" spans="3:16" x14ac:dyDescent="0.3">
      <c r="C14" s="2" t="s">
        <v>295</v>
      </c>
      <c r="D14" s="106" t="str" cm="1">
        <f t="array" aca="1" ref="D14" ca="1">INDIRECT("'" &amp; C14 &amp; "'!$q$36")</f>
        <v>si</v>
      </c>
      <c r="E14" s="106" t="str" cm="1">
        <f t="array" aca="1" ref="E14" ca="1">INDIRECT("'" &amp; C14 &amp; "'!$q$46")</f>
        <v>si</v>
      </c>
      <c r="F14" s="2"/>
      <c r="G14" s="106"/>
      <c r="I14" s="2"/>
      <c r="J14" s="106"/>
      <c r="L14" s="2"/>
      <c r="M14" s="106"/>
      <c r="O14" s="2"/>
      <c r="P14" s="106"/>
    </row>
    <row r="15" spans="3:16" x14ac:dyDescent="0.3">
      <c r="C15" s="2" t="s">
        <v>296</v>
      </c>
      <c r="D15" s="106" t="str" cm="1">
        <f t="array" aca="1" ref="D15" ca="1">INDIRECT("'" &amp; C15 &amp; "'!$q$36")</f>
        <v>si</v>
      </c>
      <c r="E15" s="106" t="str" cm="1">
        <f t="array" aca="1" ref="E15" ca="1">INDIRECT("'" &amp; C15 &amp; "'!$q$46")</f>
        <v>no</v>
      </c>
      <c r="F15" s="2"/>
      <c r="G15" s="106"/>
      <c r="J15" s="106"/>
      <c r="L15" s="2"/>
      <c r="M15" s="106"/>
      <c r="O15" s="2"/>
      <c r="P15" s="106"/>
    </row>
    <row r="16" spans="3:16" x14ac:dyDescent="0.3">
      <c r="C16" s="2" t="s">
        <v>297</v>
      </c>
      <c r="D16" s="106" t="str" cm="1">
        <f t="array" aca="1" ref="D16" ca="1">INDIRECT("'" &amp; C16 &amp; "'!$q$36")</f>
        <v>si</v>
      </c>
      <c r="E16" s="106" t="str" cm="1">
        <f t="array" aca="1" ref="E16" ca="1">INDIRECT("'" &amp; C16 &amp; "'!$q$46")</f>
        <v>si</v>
      </c>
      <c r="F16" s="2"/>
      <c r="G16" s="106"/>
      <c r="I16" s="2"/>
      <c r="J16" s="106"/>
      <c r="L16" s="2"/>
      <c r="M16" s="106"/>
      <c r="O16" s="2"/>
      <c r="P16" s="106"/>
    </row>
    <row r="17" spans="3:16" x14ac:dyDescent="0.3">
      <c r="C17" s="2" t="s">
        <v>298</v>
      </c>
      <c r="D17" s="106" t="str" cm="1">
        <f t="array" aca="1" ref="D17" ca="1">INDIRECT("'" &amp; C17 &amp; "'!$q$36")</f>
        <v>si</v>
      </c>
      <c r="E17" s="106" t="str" cm="1">
        <f t="array" aca="1" ref="E17" ca="1">INDIRECT("'" &amp; C17 &amp; "'!$q$46")</f>
        <v>si</v>
      </c>
      <c r="F17" s="2"/>
      <c r="G17" s="106"/>
      <c r="I17" s="2"/>
      <c r="J17" s="106"/>
      <c r="L17" s="2"/>
      <c r="M17" s="106"/>
      <c r="O17" s="2"/>
      <c r="P17" s="106"/>
    </row>
    <row r="18" spans="3:16" x14ac:dyDescent="0.3">
      <c r="C18" s="2" t="s">
        <v>299</v>
      </c>
      <c r="D18" s="106" t="str" cm="1">
        <f t="array" aca="1" ref="D18" ca="1">INDIRECT("'" &amp; C18 &amp; "'!$q$36")</f>
        <v>si</v>
      </c>
      <c r="E18" s="106" t="str" cm="1">
        <f t="array" aca="1" ref="E18" ca="1">INDIRECT("'" &amp; C18 &amp; "'!$q$46")</f>
        <v>si</v>
      </c>
      <c r="F18" s="2"/>
      <c r="G18" s="106"/>
      <c r="I18" s="2"/>
      <c r="J18" s="106"/>
      <c r="L18" s="2"/>
      <c r="M18" s="106"/>
      <c r="O18" s="2"/>
      <c r="P18" s="106"/>
    </row>
    <row r="19" spans="3:16" x14ac:dyDescent="0.3">
      <c r="C19" s="2" t="s">
        <v>395</v>
      </c>
      <c r="D19" s="106" t="str" cm="1">
        <f t="array" aca="1" ref="D19" ca="1">INDIRECT("'" &amp; C19 &amp; "'!$q$36")</f>
        <v>si</v>
      </c>
      <c r="E19" s="106" t="str" cm="1">
        <f t="array" aca="1" ref="E19" ca="1">INDIRECT("'" &amp; C19 &amp; "'!$q$46")</f>
        <v>no</v>
      </c>
      <c r="F19" s="2"/>
      <c r="G19" s="106"/>
      <c r="I19" s="2"/>
      <c r="J19" s="106"/>
      <c r="L19" s="2"/>
      <c r="M19" s="106"/>
      <c r="O19" s="2"/>
      <c r="P19" s="106"/>
    </row>
    <row r="20" spans="3:16" x14ac:dyDescent="0.3">
      <c r="C20" s="2" t="s">
        <v>396</v>
      </c>
      <c r="D20" s="106" t="str" cm="1">
        <f t="array" aca="1" ref="D20" ca="1">INDIRECT("'" &amp; C20 &amp; "'!$q$36")</f>
        <v>si</v>
      </c>
      <c r="E20" s="106" t="str" cm="1">
        <f t="array" aca="1" ref="E20" ca="1">INDIRECT("'" &amp; C20 &amp; "'!$q$46")</f>
        <v>si</v>
      </c>
      <c r="F20" s="2"/>
      <c r="G20" s="106"/>
      <c r="I20" s="2"/>
      <c r="J20" s="106"/>
      <c r="L20" s="2"/>
      <c r="M20" s="106"/>
      <c r="O20" s="2"/>
      <c r="P20" s="106"/>
    </row>
    <row r="21" spans="3:16" x14ac:dyDescent="0.3">
      <c r="C21" s="2" t="s">
        <v>397</v>
      </c>
      <c r="D21" s="106" t="str" cm="1">
        <f t="array" aca="1" ref="D21" ca="1">INDIRECT("'" &amp; C21 &amp; "'!$q$36")</f>
        <v>no</v>
      </c>
      <c r="E21" s="106" t="str" cm="1">
        <f t="array" aca="1" ref="E21" ca="1">INDIRECT("'" &amp; C21 &amp; "'!$q$46")</f>
        <v>si</v>
      </c>
      <c r="F21" s="2"/>
      <c r="G21" s="106"/>
      <c r="I21" s="2"/>
      <c r="J21" s="106"/>
      <c r="L21" s="2"/>
      <c r="M21" s="106"/>
      <c r="O21" s="2"/>
      <c r="P21" s="106"/>
    </row>
    <row r="22" spans="3:16" x14ac:dyDescent="0.3">
      <c r="C22" s="2" t="s">
        <v>398</v>
      </c>
      <c r="D22" s="106" t="str" cm="1">
        <f t="array" aca="1" ref="D22" ca="1">INDIRECT("'" &amp; C22 &amp; "'!$q$36")</f>
        <v>si</v>
      </c>
      <c r="E22" s="106" t="str" cm="1">
        <f t="array" aca="1" ref="E22" ca="1">INDIRECT("'" &amp; C22 &amp; "'!$q$46")</f>
        <v>si</v>
      </c>
      <c r="F22" s="2"/>
      <c r="G22" s="106"/>
      <c r="I22" s="2"/>
      <c r="J22" s="106"/>
      <c r="L22" s="2"/>
      <c r="M22" s="106"/>
      <c r="O22" s="2"/>
      <c r="P22" s="106"/>
    </row>
    <row r="23" spans="3:16" x14ac:dyDescent="0.3">
      <c r="C23" s="2" t="s">
        <v>399</v>
      </c>
      <c r="D23" s="106" t="str" cm="1">
        <f t="array" aca="1" ref="D23" ca="1">INDIRECT("'" &amp; C23 &amp; "'!$q$36")</f>
        <v>si</v>
      </c>
      <c r="E23" s="106" t="str" cm="1">
        <f t="array" aca="1" ref="E23" ca="1">INDIRECT("'" &amp; C23 &amp; "'!$q$46")</f>
        <v>si</v>
      </c>
      <c r="F23" s="2"/>
      <c r="G23" s="106"/>
      <c r="I23" s="2"/>
      <c r="J23" s="106"/>
      <c r="L23" s="2"/>
      <c r="M23" s="106"/>
      <c r="O23" s="2"/>
      <c r="P23" s="106"/>
    </row>
    <row r="24" spans="3:16" x14ac:dyDescent="0.3">
      <c r="C24" s="2" t="s">
        <v>400</v>
      </c>
      <c r="D24" s="106" t="str" cm="1">
        <f t="array" aca="1" ref="D24" ca="1">INDIRECT("'" &amp; C24 &amp; "'!$q$36")</f>
        <v>no</v>
      </c>
      <c r="E24" s="106" t="str" cm="1">
        <f t="array" aca="1" ref="E24" ca="1">INDIRECT("'" &amp; C24 &amp; "'!$q$46")</f>
        <v>si</v>
      </c>
    </row>
    <row r="25" spans="3:16" x14ac:dyDescent="0.3">
      <c r="F25" s="2"/>
      <c r="G25" s="106"/>
      <c r="I25" s="2"/>
      <c r="J25" s="106"/>
      <c r="L25" s="2"/>
      <c r="M25" s="106"/>
      <c r="O25" s="2"/>
      <c r="P25" s="106"/>
    </row>
    <row r="26" spans="3:16" x14ac:dyDescent="0.3">
      <c r="C26" s="2" t="s">
        <v>60</v>
      </c>
      <c r="D26" s="128">
        <f>19/21</f>
        <v>0.90476190476190477</v>
      </c>
      <c r="E26" s="128">
        <v>0.80952380952380953</v>
      </c>
      <c r="F26" s="2"/>
      <c r="G26" s="106"/>
      <c r="I26" s="2"/>
      <c r="J26" s="106"/>
      <c r="L26" s="2"/>
      <c r="M26" s="106"/>
      <c r="O26" s="2"/>
      <c r="P26" s="106"/>
    </row>
    <row r="27" spans="3:16" x14ac:dyDescent="0.3">
      <c r="C27" s="2" t="s">
        <v>243</v>
      </c>
      <c r="D27" s="128">
        <f>2/21</f>
        <v>9.5238095238095233E-2</v>
      </c>
      <c r="E27" s="128">
        <f>4/21</f>
        <v>0.19047619047619047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0216-D637-4E9F-81E0-BC3D200E336B}">
  <sheetPr>
    <tabColor theme="7" tint="0.59999389629810485"/>
  </sheetPr>
  <dimension ref="B4:AS300"/>
  <sheetViews>
    <sheetView showGridLines="0" topLeftCell="C1" zoomScale="51" zoomScaleNormal="70" workbookViewId="0">
      <selection activeCell="T14" sqref="T14"/>
    </sheetView>
  </sheetViews>
  <sheetFormatPr defaultRowHeight="14.4" x14ac:dyDescent="0.3"/>
  <sheetData>
    <row r="4" spans="3:35" x14ac:dyDescent="0.3">
      <c r="C4" s="2"/>
      <c r="D4" s="81" t="s">
        <v>377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3:35" x14ac:dyDescent="0.3">
      <c r="C5" s="2"/>
      <c r="D5" s="140" t="s">
        <v>430</v>
      </c>
      <c r="E5" s="140" t="s">
        <v>431</v>
      </c>
      <c r="F5" s="2"/>
      <c r="G5" s="2"/>
      <c r="H5" s="30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3:35" x14ac:dyDescent="0.3">
      <c r="C6" s="2" t="s">
        <v>285</v>
      </c>
      <c r="D6" s="37" cm="1">
        <f t="array" aca="1" ref="D6" ca="1">INDIRECT("'" &amp; C6 &amp; "'!$L$158")</f>
        <v>30</v>
      </c>
      <c r="E6" s="37" cm="1">
        <f t="array" aca="1" ref="E6" ca="1">INDIRECT("'" &amp; C6 &amp; "'!$M$158")</f>
        <v>25</v>
      </c>
      <c r="F6" s="2"/>
      <c r="G6" s="2" t="s">
        <v>300</v>
      </c>
      <c r="H6" s="2"/>
      <c r="I6" s="2"/>
      <c r="J6" s="2" t="s">
        <v>331</v>
      </c>
      <c r="K6" s="2"/>
      <c r="L6" s="2"/>
      <c r="M6" s="2" t="s">
        <v>300</v>
      </c>
      <c r="N6" s="2"/>
      <c r="O6" s="2"/>
      <c r="P6" s="2" t="s">
        <v>331</v>
      </c>
      <c r="Q6" s="2"/>
      <c r="R6" s="2"/>
      <c r="S6" s="2" t="s">
        <v>338</v>
      </c>
      <c r="T6" s="2"/>
      <c r="U6" s="2"/>
      <c r="V6" s="2"/>
      <c r="W6" s="2"/>
      <c r="X6" s="2"/>
      <c r="Y6" s="2"/>
      <c r="Z6" s="2"/>
      <c r="AA6" s="2"/>
      <c r="AB6" s="2"/>
      <c r="AC6" s="2" t="s">
        <v>358</v>
      </c>
      <c r="AD6" s="2"/>
      <c r="AE6" s="2"/>
      <c r="AF6" s="2"/>
      <c r="AG6" s="2"/>
      <c r="AH6" s="2"/>
      <c r="AI6" s="2"/>
    </row>
    <row r="7" spans="3:35" x14ac:dyDescent="0.3">
      <c r="C7" s="2" t="s">
        <v>286</v>
      </c>
      <c r="D7" s="37" cm="1">
        <f t="array" aca="1" ref="D7" ca="1">INDIRECT("'" &amp; C7 &amp; "'!$L$158")</f>
        <v>34</v>
      </c>
      <c r="E7" s="37" cm="1">
        <f t="array" aca="1" ref="E7" ca="1">INDIRECT("'" &amp; C7 &amp; "'!$M$158")</f>
        <v>32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3:35" ht="15" thickBot="1" x14ac:dyDescent="0.35">
      <c r="C8" s="2" t="s">
        <v>287</v>
      </c>
      <c r="D8" s="37" cm="1">
        <f t="array" aca="1" ref="D8" ca="1">INDIRECT("'" &amp; C8 &amp; "'!$L$158")</f>
        <v>29</v>
      </c>
      <c r="E8" s="37" cm="1">
        <f t="array" aca="1" ref="E8" ca="1">INDIRECT("'" &amp; C8 &amp; "'!$M$158")</f>
        <v>39</v>
      </c>
      <c r="F8" s="2"/>
      <c r="G8" s="33"/>
      <c r="H8" s="33" t="s">
        <v>379</v>
      </c>
      <c r="I8" s="35"/>
      <c r="J8" s="33"/>
      <c r="K8" s="33" t="s">
        <v>379</v>
      </c>
      <c r="L8" s="35"/>
      <c r="M8" s="33"/>
      <c r="N8" s="34" t="s">
        <v>379</v>
      </c>
      <c r="O8" s="35"/>
      <c r="P8" s="33"/>
      <c r="Q8" s="34" t="s">
        <v>379</v>
      </c>
      <c r="R8" s="35"/>
      <c r="S8" s="46" t="s">
        <v>339</v>
      </c>
      <c r="T8" s="35"/>
      <c r="U8" s="35"/>
      <c r="V8" s="46" t="s">
        <v>340</v>
      </c>
      <c r="W8" s="35">
        <v>0.05</v>
      </c>
      <c r="X8" s="35"/>
      <c r="Y8" s="2" t="s">
        <v>341</v>
      </c>
      <c r="Z8" s="2">
        <v>0</v>
      </c>
      <c r="AA8" s="2"/>
      <c r="AB8" s="2"/>
      <c r="AC8" s="2"/>
      <c r="AD8" s="2" t="s">
        <v>381</v>
      </c>
      <c r="AE8" s="2" t="s">
        <v>382</v>
      </c>
      <c r="AF8" s="2"/>
      <c r="AG8" s="2"/>
      <c r="AH8" s="2"/>
      <c r="AI8" s="2"/>
    </row>
    <row r="9" spans="3:35" ht="15" thickTop="1" x14ac:dyDescent="0.3">
      <c r="C9" s="2" t="s">
        <v>288</v>
      </c>
      <c r="D9" s="37" cm="1">
        <f t="array" aca="1" ref="D9" ca="1">INDIRECT("'" &amp; C9 &amp; "'!$L$158")</f>
        <v>28</v>
      </c>
      <c r="E9" s="37" cm="1">
        <f t="array" aca="1" ref="E9" ca="1">INDIRECT("'" &amp; C9 &amp; "'!$M$158")</f>
        <v>40</v>
      </c>
      <c r="F9" s="2"/>
      <c r="G9" s="138" t="s">
        <v>301</v>
      </c>
      <c r="H9" s="139">
        <f ca="1">AVERAGE(D6:D26)</f>
        <v>33.761904761904759</v>
      </c>
      <c r="I9" s="37"/>
      <c r="J9" s="2" t="s">
        <v>332</v>
      </c>
      <c r="K9" s="2">
        <f ca="1">[1]!SHAPIRO(D6:D26)</f>
        <v>0.96199318281227353</v>
      </c>
      <c r="L9" s="2"/>
      <c r="M9" s="138" t="s">
        <v>301</v>
      </c>
      <c r="N9" s="139">
        <f ca="1">AVERAGE(E6:E26)</f>
        <v>36.666666666666664</v>
      </c>
      <c r="O9" s="2"/>
      <c r="P9" s="2" t="s">
        <v>332</v>
      </c>
      <c r="Q9" s="37">
        <f ca="1">[1]!SHAPIRO(E6:E26)</f>
        <v>0.78898603462773009</v>
      </c>
      <c r="R9" s="37"/>
      <c r="S9" s="119" t="s">
        <v>342</v>
      </c>
      <c r="T9" s="119" t="s">
        <v>313</v>
      </c>
      <c r="U9" s="119" t="s">
        <v>301</v>
      </c>
      <c r="V9" s="119" t="s">
        <v>343</v>
      </c>
      <c r="W9" s="119" t="s">
        <v>344</v>
      </c>
      <c r="X9" s="119" t="s">
        <v>345</v>
      </c>
      <c r="Y9" s="119" t="s">
        <v>346</v>
      </c>
      <c r="Z9" s="119" t="s">
        <v>347</v>
      </c>
      <c r="AA9" s="119" t="s">
        <v>348</v>
      </c>
      <c r="AB9" s="46"/>
      <c r="AC9" s="46" t="s">
        <v>359</v>
      </c>
      <c r="AD9" s="124">
        <f ca="1">MEDIAN(D6:D26)</f>
        <v>34</v>
      </c>
      <c r="AE9" s="125">
        <f ca="1">MEDIAN(E6:E26)</f>
        <v>38</v>
      </c>
      <c r="AF9" s="46"/>
      <c r="AG9" s="35"/>
      <c r="AH9" s="35"/>
      <c r="AI9" s="2"/>
    </row>
    <row r="10" spans="3:35" x14ac:dyDescent="0.3">
      <c r="C10" s="2" t="s">
        <v>289</v>
      </c>
      <c r="D10" s="37" cm="1">
        <f t="array" aca="1" ref="D10" ca="1">INDIRECT("'" &amp; C10 &amp; "'!$L$158")</f>
        <v>38</v>
      </c>
      <c r="E10" s="37" cm="1">
        <f t="array" aca="1" ref="E10" ca="1">INDIRECT("'" &amp; C10 &amp; "'!$M$158")</f>
        <v>38</v>
      </c>
      <c r="F10" s="2"/>
      <c r="G10" s="2" t="s">
        <v>302</v>
      </c>
      <c r="H10" s="2">
        <f ca="1">_xlfn.STDEV.S(D6:D26)/SQRT(COUNT(D6:D26))</f>
        <v>0.85050338569008221</v>
      </c>
      <c r="I10" s="2"/>
      <c r="J10" s="2" t="s">
        <v>333</v>
      </c>
      <c r="K10" s="2">
        <f ca="1">[1]!SWTEST(D6:D26)</f>
        <v>0.55715663334128784</v>
      </c>
      <c r="L10" s="2"/>
      <c r="M10" s="2" t="s">
        <v>302</v>
      </c>
      <c r="N10" s="2">
        <f ca="1">_xlfn.STDEV.S(E6:E26)/SQRT(COUNT(E6:E26))</f>
        <v>0.82903654159608076</v>
      </c>
      <c r="O10" s="2"/>
      <c r="P10" s="2" t="s">
        <v>333</v>
      </c>
      <c r="Q10" s="2">
        <f ca="1">[1]!SWTEST(E6:E26)</f>
        <v>4.4736784836996168E-4</v>
      </c>
      <c r="R10" s="2"/>
      <c r="S10" s="2" t="s">
        <v>379</v>
      </c>
      <c r="T10" s="2">
        <f ca="1">COUNT(D6:D26)</f>
        <v>21</v>
      </c>
      <c r="U10" s="37">
        <f ca="1">AVERAGE(D6:D26)</f>
        <v>33.761904761904759</v>
      </c>
      <c r="V10" s="2">
        <f ca="1">_xlfn.STDEV.S(D6:D26)</f>
        <v>3.8974961437410234</v>
      </c>
      <c r="W10" s="2"/>
      <c r="X10" s="37"/>
      <c r="Y10" s="2"/>
      <c r="Z10" s="37"/>
      <c r="AA10" s="37"/>
      <c r="AB10" s="37"/>
      <c r="AC10" s="2"/>
      <c r="AD10" s="2"/>
      <c r="AE10" s="2"/>
      <c r="AF10" s="2"/>
      <c r="AG10" s="2"/>
      <c r="AH10" s="2"/>
      <c r="AI10" s="2"/>
    </row>
    <row r="11" spans="3:35" x14ac:dyDescent="0.3">
      <c r="C11" s="2" t="s">
        <v>290</v>
      </c>
      <c r="D11" s="37" cm="1">
        <f t="array" aca="1" ref="D11" ca="1">INDIRECT("'" &amp; C11 &amp; "'!$L$158")</f>
        <v>38</v>
      </c>
      <c r="E11" s="37" cm="1">
        <f t="array" aca="1" ref="E11" ca="1">INDIRECT("'" &amp; C11 &amp; "'!$M$158")</f>
        <v>38</v>
      </c>
      <c r="F11" s="2"/>
      <c r="G11" s="2" t="s">
        <v>303</v>
      </c>
      <c r="H11" s="37">
        <f ca="1">MEDIAN(D6:D26)</f>
        <v>34</v>
      </c>
      <c r="I11" s="37"/>
      <c r="J11" s="2" t="s">
        <v>334</v>
      </c>
      <c r="K11" s="2">
        <v>0.05</v>
      </c>
      <c r="L11" s="2"/>
      <c r="M11" s="2" t="s">
        <v>303</v>
      </c>
      <c r="N11" s="37">
        <f ca="1">MEDIAN(E6:E26)</f>
        <v>38</v>
      </c>
      <c r="O11" s="2"/>
      <c r="P11" s="2" t="s">
        <v>334</v>
      </c>
      <c r="Q11" s="2">
        <v>0.05</v>
      </c>
      <c r="R11" s="37"/>
      <c r="S11" s="2" t="s">
        <v>380</v>
      </c>
      <c r="T11" s="2">
        <f ca="1">COUNT(E6:E26)</f>
        <v>21</v>
      </c>
      <c r="U11" s="37">
        <f ca="1">AVERAGE(E6:E26)</f>
        <v>36.666666666666664</v>
      </c>
      <c r="V11" s="2">
        <f ca="1">_xlfn.STDEV.S(E6:E26)</f>
        <v>3.799122705748446</v>
      </c>
      <c r="W11" s="2"/>
      <c r="X11" s="37"/>
      <c r="Y11" s="2"/>
      <c r="Z11" s="37"/>
      <c r="AA11" s="37"/>
      <c r="AB11" s="37"/>
      <c r="AC11" s="2" t="s">
        <v>360</v>
      </c>
      <c r="AD11" s="126">
        <f ca="1">SUMPRODUCT(--ISNUMBER(D6:D26),--ISNUMBER(E6:E26))</f>
        <v>21</v>
      </c>
      <c r="AE11" s="2"/>
      <c r="AF11" s="2"/>
      <c r="AG11" s="2"/>
      <c r="AH11" s="2"/>
      <c r="AI11" s="2"/>
    </row>
    <row r="12" spans="3:35" x14ac:dyDescent="0.3">
      <c r="C12" s="2" t="s">
        <v>291</v>
      </c>
      <c r="D12" s="37" cm="1">
        <f t="array" aca="1" ref="D12" ca="1">INDIRECT("'" &amp; C12 &amp; "'!$L$158")</f>
        <v>34</v>
      </c>
      <c r="E12" s="37" cm="1">
        <f t="array" aca="1" ref="E12" ca="1">INDIRECT("'" &amp; C12 &amp; "'!$M$158")</f>
        <v>38</v>
      </c>
      <c r="F12" s="2"/>
      <c r="G12" s="2" t="s">
        <v>304</v>
      </c>
      <c r="H12" s="2">
        <f ca="1">MODE(D6:D26)</f>
        <v>34</v>
      </c>
      <c r="I12" s="2"/>
      <c r="J12" s="39" t="s">
        <v>335</v>
      </c>
      <c r="K12" s="36" t="str">
        <f ca="1">IF(K10&lt;K11,"no","yes")</f>
        <v>yes</v>
      </c>
      <c r="L12" s="2"/>
      <c r="M12" s="2" t="s">
        <v>304</v>
      </c>
      <c r="N12" s="47">
        <f ca="1">MODE(E6:E26)</f>
        <v>39</v>
      </c>
      <c r="O12" s="47"/>
      <c r="P12" s="39" t="s">
        <v>335</v>
      </c>
      <c r="Q12" s="36" t="str">
        <f ca="1">IF(Q10&lt;Q11,"no","yes")</f>
        <v>no</v>
      </c>
      <c r="R12" s="2"/>
      <c r="S12" s="120" t="s">
        <v>349</v>
      </c>
      <c r="T12" s="121">
        <f ca="1">T11</f>
        <v>21</v>
      </c>
      <c r="U12" s="122">
        <f ca="1">U10-U11</f>
        <v>-2.9047619047619051</v>
      </c>
      <c r="V12" s="120">
        <f t="array" aca="1" ref="V12" ca="1">_xlfn.STDEV.S(D6:D26-E6:E26)</f>
        <v>4.6894004084185639</v>
      </c>
      <c r="W12" s="121">
        <f ca="1">V12/SQRT(T12)</f>
        <v>1.0233110635969001</v>
      </c>
      <c r="X12" s="123">
        <f ca="1">(U10-U11-Z8)/W12</f>
        <v>-2.8385913219307684</v>
      </c>
      <c r="Y12" s="120">
        <f ca="1">T12-1</f>
        <v>20</v>
      </c>
      <c r="Z12" s="122">
        <f ca="1">ABS(U10-U11-Z8)/V12</f>
        <v>0.61943140951392894</v>
      </c>
      <c r="AA12" s="122">
        <f ca="1">SQRT(X12^2/(X12^2+Y12))</f>
        <v>0.53589240948054051</v>
      </c>
      <c r="AB12" s="37"/>
      <c r="AC12" s="2" t="s">
        <v>361</v>
      </c>
      <c r="AD12" s="38">
        <f ca="1">SUMPRODUCT(--ISNUMBER(D6:D26),--ISNUMBER(E6:E26),--(D6:D26&lt;&gt;E6:E26))</f>
        <v>17</v>
      </c>
      <c r="AE12" s="37"/>
      <c r="AF12" s="2"/>
      <c r="AG12" s="2"/>
      <c r="AH12" s="2"/>
      <c r="AI12" s="2"/>
    </row>
    <row r="13" spans="3:35" x14ac:dyDescent="0.3">
      <c r="C13" s="2" t="s">
        <v>292</v>
      </c>
      <c r="D13" s="37" cm="1">
        <f t="array" aca="1" ref="D13" ca="1">INDIRECT("'" &amp; C13 &amp; "'!$L$158")</f>
        <v>35</v>
      </c>
      <c r="E13" s="37" cm="1">
        <f t="array" aca="1" ref="E13" ca="1">INDIRECT("'" &amp; C13 &amp; "'!$M$158")</f>
        <v>34</v>
      </c>
      <c r="F13" s="2"/>
      <c r="G13" s="2" t="s">
        <v>305</v>
      </c>
      <c r="H13" s="2">
        <f ca="1">_xlfn.STDEV.S(D6:D26)</f>
        <v>3.8974961437410234</v>
      </c>
      <c r="I13" s="2"/>
      <c r="J13" s="2"/>
      <c r="K13" s="2"/>
      <c r="L13" s="2"/>
      <c r="M13" s="2" t="s">
        <v>305</v>
      </c>
      <c r="N13" s="2">
        <f ca="1">_xlfn.STDEV.S(E6:E26)</f>
        <v>3.799122705748446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 t="s">
        <v>362</v>
      </c>
      <c r="AD13" s="38">
        <f ca="1">IF(AD15&lt;=AD18,AD15,AD12*(AD12+1)/2)</f>
        <v>21.5</v>
      </c>
      <c r="AE13" s="2"/>
      <c r="AF13" s="2"/>
      <c r="AG13" s="2"/>
      <c r="AH13" s="2"/>
      <c r="AI13" s="2"/>
    </row>
    <row r="14" spans="3:35" ht="15" thickBot="1" x14ac:dyDescent="0.35">
      <c r="C14" s="2" t="s">
        <v>293</v>
      </c>
      <c r="D14" s="37" cm="1">
        <f t="array" aca="1" ref="D14" ca="1">INDIRECT("'" &amp; C14 &amp; "'!$L$158")</f>
        <v>40</v>
      </c>
      <c r="E14" s="37" cm="1">
        <f t="array" aca="1" ref="E14" ca="1">INDIRECT("'" &amp; C14 &amp; "'!$M$158")</f>
        <v>40</v>
      </c>
      <c r="F14" s="2"/>
      <c r="G14" s="2" t="s">
        <v>306</v>
      </c>
      <c r="H14" s="2">
        <f ca="1">_xlfn.VAR.S(D6:D26)</f>
        <v>15.190476190476147</v>
      </c>
      <c r="I14" s="2"/>
      <c r="J14" s="2" t="s">
        <v>336</v>
      </c>
      <c r="K14" s="37"/>
      <c r="L14" s="37"/>
      <c r="M14" s="2" t="s">
        <v>306</v>
      </c>
      <c r="N14" s="2">
        <f ca="1">_xlfn.VAR.S(E6:E26)</f>
        <v>14.433333333333394</v>
      </c>
      <c r="O14" s="2"/>
      <c r="P14" s="2" t="s">
        <v>336</v>
      </c>
      <c r="Q14" s="37"/>
      <c r="R14" s="2"/>
      <c r="S14" s="2" t="s">
        <v>350</v>
      </c>
      <c r="T14" s="37"/>
      <c r="U14" s="37"/>
      <c r="V14" s="2"/>
      <c r="W14" s="2"/>
      <c r="X14" s="2"/>
      <c r="Y14" s="2"/>
      <c r="Z14" s="2"/>
      <c r="AA14" s="2"/>
      <c r="AB14" s="2"/>
      <c r="AC14" s="2" t="s">
        <v>363</v>
      </c>
      <c r="AD14" s="38">
        <f ca="1">AD12*(AD12+1)/2-AD13</f>
        <v>131.5</v>
      </c>
      <c r="AE14" s="2"/>
      <c r="AF14" s="2"/>
      <c r="AG14" s="2"/>
      <c r="AH14" s="2"/>
      <c r="AI14" s="2"/>
    </row>
    <row r="15" spans="3:35" ht="15" thickTop="1" x14ac:dyDescent="0.3">
      <c r="C15" s="2" t="s">
        <v>294</v>
      </c>
      <c r="D15" s="37" cm="1">
        <f t="array" aca="1" ref="D15" ca="1">INDIRECT("'" &amp; C15 &amp; "'!$L$158")</f>
        <v>35</v>
      </c>
      <c r="E15" s="37" cm="1">
        <f t="array" aca="1" ref="E15" ca="1">INDIRECT("'" &amp; C15 &amp; "'!$M$158")</f>
        <v>39</v>
      </c>
      <c r="F15" s="2"/>
      <c r="G15" s="2" t="s">
        <v>307</v>
      </c>
      <c r="H15" s="2">
        <f ca="1">KURT(D6:D26)</f>
        <v>-0.76619312848112919</v>
      </c>
      <c r="I15" s="2"/>
      <c r="J15" s="2"/>
      <c r="K15" s="2"/>
      <c r="L15" s="2"/>
      <c r="M15" s="2" t="s">
        <v>307</v>
      </c>
      <c r="N15" s="2">
        <f ca="1">KURT(E6:E26)</f>
        <v>3.2257639816623649</v>
      </c>
      <c r="O15" s="2"/>
      <c r="P15" s="2"/>
      <c r="Q15" s="2"/>
      <c r="R15" s="2"/>
      <c r="S15" s="119" t="s">
        <v>351</v>
      </c>
      <c r="T15" s="119" t="s">
        <v>333</v>
      </c>
      <c r="U15" s="119" t="s">
        <v>352</v>
      </c>
      <c r="V15" s="119" t="s">
        <v>353</v>
      </c>
      <c r="W15" s="119" t="s">
        <v>354</v>
      </c>
      <c r="X15" s="119" t="s">
        <v>355</v>
      </c>
      <c r="Y15" s="46"/>
      <c r="Z15" s="46"/>
      <c r="AA15" s="46"/>
      <c r="AB15" s="46"/>
      <c r="AC15" s="46" t="s">
        <v>364</v>
      </c>
      <c r="AD15" s="57">
        <f ca="1">[1]!SRANK(D6:D26,E6:E26)</f>
        <v>21.5</v>
      </c>
      <c r="AE15" s="46"/>
      <c r="AF15" s="2"/>
      <c r="AG15" s="2"/>
      <c r="AH15" s="2"/>
      <c r="AI15" s="2"/>
    </row>
    <row r="16" spans="3:35" x14ac:dyDescent="0.3">
      <c r="C16" s="2" t="s">
        <v>295</v>
      </c>
      <c r="D16" s="37" cm="1">
        <f t="array" aca="1" ref="D16" ca="1">INDIRECT("'" &amp; C16 &amp; "'!$L$158")</f>
        <v>39</v>
      </c>
      <c r="E16" s="37" cm="1">
        <f t="array" aca="1" ref="E16" ca="1">INDIRECT("'" &amp; C16 &amp; "'!$M$158")</f>
        <v>39</v>
      </c>
      <c r="F16" s="2"/>
      <c r="G16" s="2" t="s">
        <v>308</v>
      </c>
      <c r="H16" s="2">
        <f ca="1">SKEW(D6:D26)</f>
        <v>-0.3058919014202639</v>
      </c>
      <c r="I16" s="2"/>
      <c r="J16" s="61" t="s">
        <v>337</v>
      </c>
      <c r="K16" s="61">
        <f ca="1">[1]!DAGOSTINO(D6:D26)</f>
        <v>1.1287772327959678</v>
      </c>
      <c r="L16" s="2"/>
      <c r="M16" s="2" t="s">
        <v>308</v>
      </c>
      <c r="N16" s="2">
        <f ca="1">SKEW(E6:E26)</f>
        <v>-1.7350291585670452</v>
      </c>
      <c r="O16" s="2"/>
      <c r="P16" s="61" t="s">
        <v>337</v>
      </c>
      <c r="Q16" s="61">
        <f ca="1">[1]!DAGOSTINO(E6:E26)</f>
        <v>14.667712633952306</v>
      </c>
      <c r="R16" s="2"/>
      <c r="S16" s="2" t="s">
        <v>356</v>
      </c>
      <c r="T16" s="2">
        <f ca="1">_xlfn.T.DIST.RT(ABS(X12),Y12)</f>
        <v>5.0754844337843981E-3</v>
      </c>
      <c r="U16" s="2">
        <f ca="1">_xlfn.T.INV.2T(W8*2,Y12)</f>
        <v>1.7247182429207868</v>
      </c>
      <c r="V16" s="2"/>
      <c r="W16" s="2"/>
      <c r="X16" s="32" t="str">
        <f ca="1">IF(T16&lt;W8,"yes","no")</f>
        <v>yes</v>
      </c>
      <c r="Y16" s="2"/>
      <c r="Z16" s="2"/>
      <c r="AA16" s="32"/>
      <c r="AB16" s="2"/>
      <c r="AC16" s="2"/>
      <c r="AD16" s="32"/>
      <c r="AE16" s="32"/>
      <c r="AF16" s="2"/>
      <c r="AG16" s="2"/>
      <c r="AH16" s="2"/>
      <c r="AI16" s="2"/>
    </row>
    <row r="17" spans="3:45" x14ac:dyDescent="0.3">
      <c r="C17" s="2" t="s">
        <v>296</v>
      </c>
      <c r="D17" s="37" cm="1">
        <f t="array" aca="1" ref="D17" ca="1">INDIRECT("'" &amp; C17 &amp; "'!$L$158")</f>
        <v>31</v>
      </c>
      <c r="E17" s="37" cm="1">
        <f t="array" aca="1" ref="E17" ca="1">INDIRECT("'" &amp; C17 &amp; "'!$M$158")</f>
        <v>34</v>
      </c>
      <c r="F17" s="2"/>
      <c r="G17" s="2" t="s">
        <v>309</v>
      </c>
      <c r="H17" s="37">
        <f ca="1">H18-H19</f>
        <v>14</v>
      </c>
      <c r="I17" s="2"/>
      <c r="J17" s="2" t="s">
        <v>333</v>
      </c>
      <c r="K17" s="2">
        <f ca="1">[1]!DPTEST(D6:D26)</f>
        <v>0.56870773907660233</v>
      </c>
      <c r="L17" s="2"/>
      <c r="M17" s="2" t="s">
        <v>309</v>
      </c>
      <c r="N17" s="37">
        <f ca="1">N18-N19</f>
        <v>15</v>
      </c>
      <c r="O17" s="2"/>
      <c r="P17" s="2" t="s">
        <v>333</v>
      </c>
      <c r="Q17" s="2">
        <f ca="1">[1]!DPTEST(E6:E26)</f>
        <v>6.5305035588925087E-4</v>
      </c>
      <c r="R17" s="2"/>
      <c r="S17" s="2" t="s">
        <v>357</v>
      </c>
      <c r="T17" s="2">
        <f ca="1">_xlfn.T.DIST.2T(ABS(X12),Y12)</f>
        <v>1.0150968867568796E-2</v>
      </c>
      <c r="U17" s="2">
        <f ca="1">_xlfn.T.INV.2T(W8,Y12)</f>
        <v>2.0859634472658648</v>
      </c>
      <c r="V17" s="2">
        <f ca="1">(U10-U11)-W12*U17</f>
        <v>-5.0393513786077939</v>
      </c>
      <c r="W17" s="2">
        <f ca="1">(U10-U11)+W12*U17</f>
        <v>-0.77017243091601673</v>
      </c>
      <c r="X17" s="32" t="str">
        <f ca="1">IF(T17&lt;W8,"yes","no")</f>
        <v>yes</v>
      </c>
      <c r="Y17" s="2"/>
      <c r="Z17" s="2"/>
      <c r="AA17" s="32"/>
      <c r="AB17" s="2"/>
      <c r="AC17" s="2"/>
      <c r="AD17" s="32" t="s">
        <v>365</v>
      </c>
      <c r="AE17" s="32" t="s">
        <v>366</v>
      </c>
      <c r="AF17" s="2"/>
      <c r="AG17" s="32"/>
      <c r="AH17" s="32"/>
      <c r="AI17" s="2"/>
    </row>
    <row r="18" spans="3:45" x14ac:dyDescent="0.3">
      <c r="C18" s="2" t="s">
        <v>297</v>
      </c>
      <c r="D18" s="37" cm="1">
        <f t="array" aca="1" ref="D18" ca="1">INDIRECT("'" &amp; C18 &amp; "'!$L$158")</f>
        <v>34</v>
      </c>
      <c r="E18" s="37" cm="1">
        <f t="array" aca="1" ref="E18" ca="1">INDIRECT("'" &amp; C18 &amp; "'!$M$158")</f>
        <v>37</v>
      </c>
      <c r="F18" s="2"/>
      <c r="G18" s="2" t="s">
        <v>310</v>
      </c>
      <c r="H18" s="37">
        <f ca="1">MAX(D6:D26)</f>
        <v>40</v>
      </c>
      <c r="I18" s="37"/>
      <c r="J18" s="2" t="s">
        <v>334</v>
      </c>
      <c r="K18" s="37">
        <v>0.05</v>
      </c>
      <c r="L18" s="37"/>
      <c r="M18" s="2" t="s">
        <v>310</v>
      </c>
      <c r="N18" s="37">
        <f ca="1">MAX(E6:E26)</f>
        <v>40</v>
      </c>
      <c r="O18" s="2"/>
      <c r="P18" s="2" t="s">
        <v>334</v>
      </c>
      <c r="Q18" s="37">
        <v>0.05</v>
      </c>
      <c r="R18" s="37"/>
      <c r="S18" s="120"/>
      <c r="T18" s="122"/>
      <c r="U18" s="122"/>
      <c r="V18" s="120"/>
      <c r="W18" s="120"/>
      <c r="X18" s="120"/>
      <c r="Y18" s="2"/>
      <c r="Z18" s="2"/>
      <c r="AA18" s="2"/>
      <c r="AB18" s="2"/>
      <c r="AC18" s="2" t="s">
        <v>367</v>
      </c>
      <c r="AD18" s="126">
        <f ca="1">AD12*(AD12+1)/4</f>
        <v>76.5</v>
      </c>
      <c r="AE18" s="2"/>
      <c r="AF18" s="2"/>
      <c r="AG18" s="2"/>
      <c r="AH18" s="2"/>
      <c r="AI18" s="2"/>
    </row>
    <row r="19" spans="3:45" x14ac:dyDescent="0.3">
      <c r="C19" s="2" t="s">
        <v>298</v>
      </c>
      <c r="D19" s="37" cm="1">
        <f t="array" aca="1" ref="D19" ca="1">INDIRECT("'" &amp; C19 &amp; "'!$L$158")</f>
        <v>38</v>
      </c>
      <c r="E19" s="37" cm="1">
        <f t="array" aca="1" ref="E19" ca="1">INDIRECT("'" &amp; C19 &amp; "'!$M$158")</f>
        <v>39</v>
      </c>
      <c r="F19" s="2"/>
      <c r="G19" s="2" t="s">
        <v>311</v>
      </c>
      <c r="H19" s="37">
        <f ca="1">MIN(D6:D26)</f>
        <v>26</v>
      </c>
      <c r="I19" s="37"/>
      <c r="J19" s="39" t="s">
        <v>335</v>
      </c>
      <c r="K19" s="36" t="str">
        <f ca="1">IF(K17&lt;K18,"no","yes")</f>
        <v>yes</v>
      </c>
      <c r="L19" s="2"/>
      <c r="M19" s="2" t="s">
        <v>311</v>
      </c>
      <c r="N19" s="60">
        <f ca="1">MIN(E6:E26)</f>
        <v>25</v>
      </c>
      <c r="O19" s="47"/>
      <c r="P19" s="39" t="s">
        <v>335</v>
      </c>
      <c r="Q19" s="62" t="str">
        <f ca="1">IF(Q17&lt;Q18,"no","yes")</f>
        <v>no</v>
      </c>
      <c r="R19" s="37"/>
      <c r="S19" s="2"/>
      <c r="T19" s="47"/>
      <c r="U19" s="2"/>
      <c r="V19" s="2"/>
      <c r="W19" s="47"/>
      <c r="X19" s="47"/>
      <c r="Y19" s="2"/>
      <c r="Z19" s="2"/>
      <c r="AA19" s="2"/>
      <c r="AB19" s="2"/>
      <c r="AC19" s="2" t="s">
        <v>368</v>
      </c>
      <c r="AD19" s="38">
        <f ca="1">SQRT(AD18*(2*AD12+1)/6-[1]!TiesCorrection(D6:D26,E6:E26,1)/48)</f>
        <v>21.047565179849187</v>
      </c>
      <c r="AE19" s="2" t="s">
        <v>369</v>
      </c>
      <c r="AF19" s="2"/>
      <c r="AG19" s="2"/>
      <c r="AH19" s="2"/>
      <c r="AI19" s="2"/>
    </row>
    <row r="20" spans="3:45" x14ac:dyDescent="0.3">
      <c r="C20" s="2" t="s">
        <v>299</v>
      </c>
      <c r="D20" s="37" cm="1">
        <f t="array" aca="1" ref="D20" ca="1">INDIRECT("'" &amp; C20 &amp; "'!$L$158")</f>
        <v>36</v>
      </c>
      <c r="E20" s="37" cm="1">
        <f t="array" aca="1" ref="E20" ca="1">INDIRECT("'" &amp; C20 &amp; "'!$M$158")</f>
        <v>39</v>
      </c>
      <c r="F20" s="2"/>
      <c r="G20" s="2" t="s">
        <v>312</v>
      </c>
      <c r="H20" s="37">
        <f ca="1">SUM(D6:D26)</f>
        <v>709</v>
      </c>
      <c r="I20" s="37"/>
      <c r="J20" s="2"/>
      <c r="K20" s="2"/>
      <c r="L20" s="2"/>
      <c r="M20" s="2" t="s">
        <v>312</v>
      </c>
      <c r="N20" s="37">
        <f ca="1">SUM(E6:E26)</f>
        <v>770</v>
      </c>
      <c r="O20" s="2"/>
      <c r="P20" s="2"/>
      <c r="Q20" s="37"/>
      <c r="R20" s="37"/>
      <c r="S20" s="2"/>
      <c r="T20" s="2"/>
      <c r="U20" s="2"/>
      <c r="V20" s="2"/>
      <c r="W20" s="2"/>
      <c r="X20" s="2"/>
      <c r="Y20" s="2"/>
      <c r="Z20" s="2"/>
      <c r="AA20" s="2"/>
      <c r="AB20" s="2"/>
      <c r="AC20" s="2" t="s">
        <v>370</v>
      </c>
      <c r="AD20" s="38">
        <f ca="1">ABS(ABS(AD15-AD18)-1/2)/AD19</f>
        <v>2.5893731428934106</v>
      </c>
      <c r="AE20" s="2" t="s">
        <v>371</v>
      </c>
      <c r="AF20" s="2"/>
      <c r="AG20" s="2"/>
      <c r="AH20" s="2"/>
      <c r="AI20" s="2"/>
    </row>
    <row r="21" spans="3:45" ht="15" thickBot="1" x14ac:dyDescent="0.35">
      <c r="C21" s="2" t="s">
        <v>395</v>
      </c>
      <c r="D21" s="37" cm="1">
        <f t="array" aca="1" ref="D21" ca="1">INDIRECT("'" &amp; C21 &amp; "'!$L$158")</f>
        <v>26</v>
      </c>
      <c r="E21" s="37" cm="1">
        <f t="array" aca="1" ref="E21" ca="1">INDIRECT("'" &amp; C21 &amp; "'!$M$158")</f>
        <v>40</v>
      </c>
      <c r="F21" s="2"/>
      <c r="G21" s="2" t="s">
        <v>313</v>
      </c>
      <c r="H21" s="2">
        <f ca="1">COUNT(D6:D26)</f>
        <v>21</v>
      </c>
      <c r="I21" s="2"/>
      <c r="J21" s="2"/>
      <c r="K21" s="37"/>
      <c r="L21" s="37"/>
      <c r="M21" s="2" t="s">
        <v>313</v>
      </c>
      <c r="N21" s="2">
        <f ca="1">COUNT(E6:E26)</f>
        <v>21</v>
      </c>
      <c r="O21" s="2"/>
      <c r="P21" s="2"/>
      <c r="Q21" s="37"/>
      <c r="R21" s="2"/>
      <c r="S21" s="2"/>
      <c r="T21" s="150"/>
      <c r="U21" s="150" t="s">
        <v>301</v>
      </c>
      <c r="V21" s="151" t="s">
        <v>343</v>
      </c>
      <c r="W21" s="152" t="s">
        <v>333</v>
      </c>
      <c r="X21" s="152" t="s">
        <v>348</v>
      </c>
      <c r="Y21" s="2"/>
      <c r="Z21" s="2"/>
      <c r="AA21" s="2"/>
      <c r="AB21" s="2"/>
      <c r="AC21" s="2" t="s">
        <v>372</v>
      </c>
      <c r="AD21" s="38">
        <f ca="1">AD20/SQRT(AD12)</f>
        <v>0.62801523366394729</v>
      </c>
      <c r="AE21" s="2"/>
      <c r="AF21" s="2"/>
      <c r="AG21" s="2"/>
      <c r="AH21" s="2"/>
      <c r="AI21" s="2"/>
    </row>
    <row r="22" spans="3:45" ht="15" thickBot="1" x14ac:dyDescent="0.35">
      <c r="C22" s="2" t="s">
        <v>396</v>
      </c>
      <c r="D22" s="37" cm="1">
        <f t="array" aca="1" ref="D22" ca="1">INDIRECT("'" &amp; C22 &amp; "'!$L$158")</f>
        <v>35</v>
      </c>
      <c r="E22" s="37" cm="1">
        <f t="array" aca="1" ref="E22" ca="1">INDIRECT("'" &amp; C22 &amp; "'!$M$158")</f>
        <v>39</v>
      </c>
      <c r="F22" s="2"/>
      <c r="G22" s="2" t="s">
        <v>314</v>
      </c>
      <c r="H22" s="2">
        <f ca="1">GEOMEAN(D6:D26)</f>
        <v>33.540673027777615</v>
      </c>
      <c r="I22" s="2"/>
      <c r="J22" s="2"/>
      <c r="K22" s="2"/>
      <c r="L22" s="2"/>
      <c r="M22" s="2" t="s">
        <v>314</v>
      </c>
      <c r="N22" s="2">
        <f ca="1">GEOMEAN(E6:E26)</f>
        <v>36.45290760051796</v>
      </c>
      <c r="O22" s="2"/>
      <c r="P22" s="2"/>
      <c r="Q22" s="2"/>
      <c r="R22" s="2"/>
      <c r="S22" s="2"/>
      <c r="T22" s="150" t="s">
        <v>430</v>
      </c>
      <c r="U22" s="153">
        <v>33.761904761904759</v>
      </c>
      <c r="V22" s="151">
        <v>3.8974961437410234</v>
      </c>
      <c r="W22" s="150"/>
      <c r="X22" s="150"/>
      <c r="Y22" s="2"/>
      <c r="Z22" s="2"/>
      <c r="AA22" s="2"/>
      <c r="AB22" s="2"/>
      <c r="AC22" s="2" t="s">
        <v>373</v>
      </c>
      <c r="AD22" s="126">
        <f ca="1">1-_xlfn.NORM.S.DIST(AD20,TRUE)</f>
        <v>4.8075421200671764E-3</v>
      </c>
      <c r="AE22" s="127">
        <f ca="1">2*AD22</f>
        <v>9.6150842401343528E-3</v>
      </c>
      <c r="AF22" s="2"/>
      <c r="AG22" s="2"/>
      <c r="AH22" s="2"/>
      <c r="AI22" s="2"/>
    </row>
    <row r="23" spans="3:45" ht="15" thickBot="1" x14ac:dyDescent="0.35">
      <c r="C23" s="2" t="s">
        <v>397</v>
      </c>
      <c r="D23" s="37" cm="1">
        <f t="array" aca="1" ref="D23" ca="1">INDIRECT("'" &amp; C23 &amp; "'!$L$158")</f>
        <v>36</v>
      </c>
      <c r="E23" s="37" cm="1">
        <f t="array" aca="1" ref="E23" ca="1">INDIRECT("'" &amp; C23 &amp; "'!$M$158")</f>
        <v>39</v>
      </c>
      <c r="F23" s="2"/>
      <c r="G23" s="2" t="s">
        <v>315</v>
      </c>
      <c r="H23" s="2">
        <f ca="1">HARMEAN(D6:D26)</f>
        <v>33.312850502310241</v>
      </c>
      <c r="I23" s="2"/>
      <c r="J23" s="2"/>
      <c r="K23" s="2"/>
      <c r="L23" s="2"/>
      <c r="M23" s="2" t="s">
        <v>315</v>
      </c>
      <c r="N23" s="2">
        <f ca="1">HARMEAN(E6:E26)</f>
        <v>36.207975839891198</v>
      </c>
      <c r="O23" s="2"/>
      <c r="P23" s="2"/>
      <c r="Q23" s="2"/>
      <c r="R23" s="2"/>
      <c r="S23" s="2"/>
      <c r="T23" s="150" t="s">
        <v>431</v>
      </c>
      <c r="U23" s="153">
        <v>36.666666666666664</v>
      </c>
      <c r="V23" s="151">
        <v>3.799122705748446</v>
      </c>
      <c r="W23" s="155">
        <v>1.0150968867568796E-2</v>
      </c>
      <c r="X23" s="153">
        <v>0.53589240948054051</v>
      </c>
      <c r="Y23" s="2"/>
      <c r="Z23" s="2"/>
      <c r="AA23" s="2"/>
      <c r="AB23" s="2"/>
      <c r="AC23" s="2" t="s">
        <v>374</v>
      </c>
      <c r="AD23" s="38">
        <f ca="1">[1]!SRDIST(AD15,AD12,1)</f>
        <v>3.326416015625E-3</v>
      </c>
      <c r="AE23" s="44">
        <f ca="1">2*AD23</f>
        <v>6.65283203125E-3</v>
      </c>
      <c r="AF23" s="2"/>
      <c r="AG23" s="2"/>
      <c r="AH23" s="2"/>
      <c r="AI23" s="2"/>
    </row>
    <row r="24" spans="3:45" x14ac:dyDescent="0.3">
      <c r="C24" s="2" t="s">
        <v>398</v>
      </c>
      <c r="D24" s="37" cm="1">
        <f t="array" aca="1" ref="D24" ca="1">INDIRECT("'" &amp; C24 &amp; "'!$L$158")</f>
        <v>29</v>
      </c>
      <c r="E24" s="37" cm="1">
        <f t="array" aca="1" ref="E24" ca="1">INDIRECT("'" &amp; C24 &amp; "'!$M$158")</f>
        <v>36</v>
      </c>
      <c r="F24" s="2"/>
      <c r="G24" s="2" t="s">
        <v>316</v>
      </c>
      <c r="H24" s="2">
        <f ca="1">AVEDEV(D6:D26)</f>
        <v>3.1519274376417239</v>
      </c>
      <c r="I24" s="2"/>
      <c r="J24" s="2"/>
      <c r="K24" s="2"/>
      <c r="L24" s="2"/>
      <c r="M24" s="2" t="s">
        <v>316</v>
      </c>
      <c r="N24" s="2">
        <f ca="1">AVEDEV(E6:E26)</f>
        <v>2.9206349206349214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 t="s">
        <v>375</v>
      </c>
      <c r="AD24" s="43" t="s">
        <v>376</v>
      </c>
      <c r="AE24" s="45" t="s">
        <v>376</v>
      </c>
      <c r="AF24" s="2"/>
      <c r="AG24" s="2"/>
      <c r="AH24" s="2"/>
      <c r="AI24" s="2"/>
    </row>
    <row r="25" spans="3:45" x14ac:dyDescent="0.3">
      <c r="C25" s="2" t="s">
        <v>399</v>
      </c>
      <c r="D25" s="37" cm="1">
        <f t="array" aca="1" ref="D25" ca="1">INDIRECT("'" &amp; C25 &amp; "'!$L$158")</f>
        <v>33</v>
      </c>
      <c r="E25" s="37" cm="1">
        <f t="array" aca="1" ref="E25" ca="1">INDIRECT("'" &amp; C25 &amp; "'!$M$158")</f>
        <v>31</v>
      </c>
      <c r="F25" s="2"/>
      <c r="G25" s="2" t="s">
        <v>317</v>
      </c>
      <c r="H25" s="2">
        <f ca="1">[1]!MAD(D6:D26)</f>
        <v>3</v>
      </c>
      <c r="I25" s="2"/>
      <c r="J25" s="2"/>
      <c r="K25" s="2"/>
      <c r="L25" s="37"/>
      <c r="M25" s="2" t="s">
        <v>317</v>
      </c>
      <c r="N25" s="2">
        <f ca="1">[1]!MAD(E6:E26)</f>
        <v>1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3:45" x14ac:dyDescent="0.3">
      <c r="C26" s="2" t="s">
        <v>400</v>
      </c>
      <c r="D26" s="37" cm="1">
        <f t="array" aca="1" ref="D26" ca="1">INDIRECT("'" &amp; C26 &amp; "'!$L$158")</f>
        <v>31</v>
      </c>
      <c r="E26" s="37" cm="1">
        <f t="array" aca="1" ref="E26" ca="1">INDIRECT("'" &amp; C26 &amp; "'!$M$158")</f>
        <v>34</v>
      </c>
      <c r="F26" s="2"/>
      <c r="G26" s="39" t="s">
        <v>318</v>
      </c>
      <c r="H26" s="39">
        <f ca="1">[1]!IQR(D6:D26,FALSE)</f>
        <v>5</v>
      </c>
      <c r="I26" s="2"/>
      <c r="J26" s="2"/>
      <c r="K26" s="2"/>
      <c r="L26" s="2"/>
      <c r="M26" s="39" t="s">
        <v>318</v>
      </c>
      <c r="N26" s="39">
        <f ca="1">[1]!IQR(E6:E26,FALSE)</f>
        <v>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3:45" x14ac:dyDescent="0.3"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3:45" x14ac:dyDescent="0.3">
      <c r="AS28" s="37"/>
    </row>
    <row r="29" spans="3:45" x14ac:dyDescent="0.3">
      <c r="AS29" s="37"/>
    </row>
    <row r="30" spans="3:45" x14ac:dyDescent="0.3">
      <c r="C30" s="2"/>
      <c r="D30" s="59" t="s">
        <v>184</v>
      </c>
      <c r="E30" s="2"/>
      <c r="AS30" s="37"/>
    </row>
    <row r="31" spans="3:45" x14ac:dyDescent="0.3">
      <c r="C31" s="2"/>
      <c r="D31" s="2"/>
      <c r="E31" s="2"/>
      <c r="AS31" s="37"/>
    </row>
    <row r="32" spans="3:45" x14ac:dyDescent="0.3">
      <c r="C32" s="2" t="s">
        <v>285</v>
      </c>
      <c r="D32" s="37" cm="1">
        <f t="array" aca="1" ref="D32" ca="1">INDIRECT("'" &amp; C32 &amp; "'!$E$158")</f>
        <v>4</v>
      </c>
      <c r="E32" s="37" cm="1">
        <f t="array" aca="1" ref="E32" ca="1">INDIRECT("'" &amp; C32 &amp; "'!$F$158")</f>
        <v>4</v>
      </c>
      <c r="G32" t="s">
        <v>300</v>
      </c>
      <c r="J32" t="s">
        <v>331</v>
      </c>
      <c r="M32" t="s">
        <v>300</v>
      </c>
      <c r="P32" t="s">
        <v>331</v>
      </c>
      <c r="S32" t="s">
        <v>338</v>
      </c>
      <c r="AC32" t="s">
        <v>358</v>
      </c>
      <c r="AS32" s="37"/>
    </row>
    <row r="33" spans="3:45" x14ac:dyDescent="0.3">
      <c r="C33" s="2" t="s">
        <v>286</v>
      </c>
      <c r="D33" s="37" cm="1">
        <f t="array" aca="1" ref="D33" ca="1">INDIRECT("'" &amp; C33 &amp; "'!$E$158")</f>
        <v>5</v>
      </c>
      <c r="E33" s="37" cm="1">
        <f t="array" aca="1" ref="E33" ca="1">INDIRECT("'" &amp; C33 &amp; "'!$F$158")</f>
        <v>4</v>
      </c>
      <c r="AS33" s="37"/>
    </row>
    <row r="34" spans="3:45" ht="15" thickBot="1" x14ac:dyDescent="0.35">
      <c r="C34" s="2" t="s">
        <v>287</v>
      </c>
      <c r="D34" s="37" cm="1">
        <f t="array" aca="1" ref="D34" ca="1">INDIRECT("'" &amp; C34 &amp; "'!$E$158")</f>
        <v>2</v>
      </c>
      <c r="E34" s="37" cm="1">
        <f t="array" aca="1" ref="E34" ca="1">INDIRECT("'" &amp; C34 &amp; "'!$F$158")</f>
        <v>4</v>
      </c>
      <c r="G34" s="92"/>
      <c r="H34" s="92" t="s">
        <v>379</v>
      </c>
      <c r="J34" s="92"/>
      <c r="K34" s="92" t="s">
        <v>379</v>
      </c>
      <c r="M34" s="92"/>
      <c r="N34" s="92" t="s">
        <v>379</v>
      </c>
      <c r="P34" s="92"/>
      <c r="Q34" s="92" t="s">
        <v>379</v>
      </c>
      <c r="S34" t="s">
        <v>339</v>
      </c>
      <c r="V34" t="s">
        <v>340</v>
      </c>
      <c r="W34">
        <v>0.05</v>
      </c>
      <c r="Y34" t="s">
        <v>341</v>
      </c>
      <c r="Z34">
        <v>0</v>
      </c>
      <c r="AD34" t="s">
        <v>381</v>
      </c>
      <c r="AE34" t="s">
        <v>382</v>
      </c>
      <c r="AS34" s="37"/>
    </row>
    <row r="35" spans="3:45" ht="15" thickTop="1" x14ac:dyDescent="0.3">
      <c r="C35" s="2" t="s">
        <v>288</v>
      </c>
      <c r="D35" s="37" cm="1">
        <f t="array" aca="1" ref="D35" ca="1">INDIRECT("'" &amp; C35 &amp; "'!$E$158")</f>
        <v>2</v>
      </c>
      <c r="E35" s="37" cm="1">
        <f t="array" aca="1" ref="E35" ca="1">INDIRECT("'" &amp; C35 &amp; "'!$F$158")</f>
        <v>5</v>
      </c>
      <c r="G35" t="s">
        <v>301</v>
      </c>
      <c r="H35" s="65">
        <f ca="1">AVERAGE(D32:D52)</f>
        <v>3.6190476190476191</v>
      </c>
      <c r="J35" t="s">
        <v>332</v>
      </c>
      <c r="K35">
        <f ca="1">[1]!SHAPIRO(D32:D52)</f>
        <v>0.83883708230365395</v>
      </c>
      <c r="M35" t="s">
        <v>301</v>
      </c>
      <c r="N35" s="65">
        <f ca="1">AVERAGE(E32:E52)</f>
        <v>4.3809523809523814</v>
      </c>
      <c r="P35" t="s">
        <v>332</v>
      </c>
      <c r="Q35">
        <f ca="1">[1]!SHAPIRO(E32:E52)</f>
        <v>0.73387309818553725</v>
      </c>
      <c r="S35" s="101" t="s">
        <v>342</v>
      </c>
      <c r="T35" s="101" t="s">
        <v>313</v>
      </c>
      <c r="U35" s="101" t="s">
        <v>301</v>
      </c>
      <c r="V35" s="101" t="s">
        <v>343</v>
      </c>
      <c r="W35" s="101" t="s">
        <v>344</v>
      </c>
      <c r="X35" s="101" t="s">
        <v>345</v>
      </c>
      <c r="Y35" s="101" t="s">
        <v>346</v>
      </c>
      <c r="Z35" s="101" t="s">
        <v>347</v>
      </c>
      <c r="AA35" s="101" t="s">
        <v>348</v>
      </c>
      <c r="AC35" t="s">
        <v>359</v>
      </c>
      <c r="AD35" s="115">
        <f ca="1">MEDIAN(D32:D52)</f>
        <v>3</v>
      </c>
      <c r="AE35" s="116">
        <f ca="1">MEDIAN(E32:E52)</f>
        <v>5</v>
      </c>
      <c r="AS35" s="37"/>
    </row>
    <row r="36" spans="3:45" x14ac:dyDescent="0.3">
      <c r="C36" s="2" t="s">
        <v>289</v>
      </c>
      <c r="D36" s="37" cm="1">
        <f t="array" aca="1" ref="D36" ca="1">INDIRECT("'" &amp; C36 &amp; "'!$E$158")</f>
        <v>5</v>
      </c>
      <c r="E36" s="37" cm="1">
        <f t="array" aca="1" ref="E36" ca="1">INDIRECT("'" &amp; C36 &amp; "'!$F$158")</f>
        <v>4</v>
      </c>
      <c r="G36" t="s">
        <v>302</v>
      </c>
      <c r="H36">
        <f ca="1">_xlfn.STDEV.S(D32:D52)/SQRT(COUNT(D32:D52))</f>
        <v>0.25332259196705503</v>
      </c>
      <c r="J36" t="s">
        <v>333</v>
      </c>
      <c r="K36">
        <f ca="1">[1]!SWTEST(D32:D52)</f>
        <v>2.7445489855120186E-3</v>
      </c>
      <c r="M36" t="s">
        <v>302</v>
      </c>
      <c r="N36">
        <f ca="1">_xlfn.STDEV.S(E32:E52)/SQRT(COUNT(E32:E52))</f>
        <v>0.17561037061510271</v>
      </c>
      <c r="P36" t="s">
        <v>333</v>
      </c>
      <c r="Q36">
        <f ca="1">[1]!SWTEST(E32:E52)</f>
        <v>7.5076332707757487E-5</v>
      </c>
      <c r="S36" t="s">
        <v>379</v>
      </c>
      <c r="T36">
        <f ca="1">COUNT(D32:D52)</f>
        <v>21</v>
      </c>
      <c r="U36" s="65">
        <f ca="1">AVERAGE(D32:D52)</f>
        <v>3.6190476190476191</v>
      </c>
      <c r="V36">
        <f ca="1">_xlfn.STDEV.S(D32:D52)</f>
        <v>1.1608699529314419</v>
      </c>
      <c r="AS36" s="37"/>
    </row>
    <row r="37" spans="3:45" x14ac:dyDescent="0.3">
      <c r="C37" s="2" t="s">
        <v>290</v>
      </c>
      <c r="D37" s="37" cm="1">
        <f t="array" aca="1" ref="D37" ca="1">INDIRECT("'" &amp; C37 &amp; "'!$E$158")</f>
        <v>5</v>
      </c>
      <c r="E37" s="37" cm="1">
        <f t="array" aca="1" ref="E37" ca="1">INDIRECT("'" &amp; C37 &amp; "'!$F$158")</f>
        <v>5</v>
      </c>
      <c r="G37" t="s">
        <v>303</v>
      </c>
      <c r="H37" s="65">
        <f ca="1">MEDIAN(D32:D52)</f>
        <v>3</v>
      </c>
      <c r="J37" t="s">
        <v>334</v>
      </c>
      <c r="K37">
        <v>0.05</v>
      </c>
      <c r="M37" t="s">
        <v>303</v>
      </c>
      <c r="N37" s="65">
        <f ca="1">MEDIAN(E32:E52)</f>
        <v>5</v>
      </c>
      <c r="P37" t="s">
        <v>334</v>
      </c>
      <c r="Q37">
        <v>0.05</v>
      </c>
      <c r="S37" t="s">
        <v>380</v>
      </c>
      <c r="T37">
        <f ca="1">COUNT(E32:E52)</f>
        <v>21</v>
      </c>
      <c r="U37" s="65">
        <f ca="1">AVERAGE(E32:E52)</f>
        <v>4.3809523809523814</v>
      </c>
      <c r="V37">
        <f ca="1">_xlfn.STDEV.S(E32:E52)</f>
        <v>0.80474781616295687</v>
      </c>
      <c r="AC37" t="s">
        <v>360</v>
      </c>
      <c r="AD37" s="117">
        <f ca="1">SUMPRODUCT(--ISNUMBER(D32:D52),--ISNUMBER(E32:E52))</f>
        <v>21</v>
      </c>
      <c r="AS37" s="37"/>
    </row>
    <row r="38" spans="3:45" x14ac:dyDescent="0.3">
      <c r="C38" s="2" t="s">
        <v>291</v>
      </c>
      <c r="D38" s="37" cm="1">
        <f t="array" aca="1" ref="D38" ca="1">INDIRECT("'" &amp; C38 &amp; "'!$E$158")</f>
        <v>3</v>
      </c>
      <c r="E38" s="37" cm="1">
        <f t="array" aca="1" ref="E38" ca="1">INDIRECT("'" &amp; C38 &amp; "'!$F$158")</f>
        <v>4</v>
      </c>
      <c r="G38" t="s">
        <v>304</v>
      </c>
      <c r="H38">
        <f ca="1">MODE(D32:D52)</f>
        <v>5</v>
      </c>
      <c r="J38" s="112" t="s">
        <v>335</v>
      </c>
      <c r="K38" s="113" t="str">
        <f ca="1">IF(K36&lt;K37,"no","yes")</f>
        <v>no</v>
      </c>
      <c r="M38" t="s">
        <v>304</v>
      </c>
      <c r="N38">
        <f ca="1">MODE(E32:E52)</f>
        <v>5</v>
      </c>
      <c r="P38" s="112" t="s">
        <v>335</v>
      </c>
      <c r="Q38" s="113" t="str">
        <f ca="1">IF(Q36&lt;Q37,"no","yes")</f>
        <v>no</v>
      </c>
      <c r="S38" s="130" t="s">
        <v>349</v>
      </c>
      <c r="T38" s="130">
        <f ca="1">T37</f>
        <v>21</v>
      </c>
      <c r="U38" s="131">
        <f ca="1">U36-U37</f>
        <v>-0.76190476190476231</v>
      </c>
      <c r="V38" s="130">
        <f t="array" aca="1" ref="V38" ca="1">_xlfn.STDEV.S(D32:D52-E32:E52)</f>
        <v>1.0442586798663398</v>
      </c>
      <c r="W38" s="130">
        <f ca="1">V38/SQRT(T38)</f>
        <v>0.22787592598105524</v>
      </c>
      <c r="X38" s="130">
        <f ca="1">(U36-U37-Z34)/W38</f>
        <v>-3.3435070362285844</v>
      </c>
      <c r="Y38" s="130">
        <f ca="1">T38-1</f>
        <v>20</v>
      </c>
      <c r="Z38" s="130">
        <f ca="1">ABS(U36-U37-Z34)/V38</f>
        <v>0.72961305143499744</v>
      </c>
      <c r="AA38" s="130">
        <f ca="1">SQRT(X38^2/(X38^2+Y38))</f>
        <v>0.59878495085209593</v>
      </c>
      <c r="AC38" t="s">
        <v>361</v>
      </c>
      <c r="AD38" s="74">
        <f ca="1">SUMPRODUCT(--ISNUMBER(D32:D52),--ISNUMBER(E32:E52),--(D32:D52&lt;&gt;E32:E52))</f>
        <v>14</v>
      </c>
      <c r="AS38" s="37"/>
    </row>
    <row r="39" spans="3:45" x14ac:dyDescent="0.3">
      <c r="C39" s="2" t="s">
        <v>292</v>
      </c>
      <c r="D39" s="37" cm="1">
        <f t="array" aca="1" ref="D39" ca="1">INDIRECT("'" &amp; C39 &amp; "'!$E$158")</f>
        <v>5</v>
      </c>
      <c r="E39" s="37" cm="1">
        <f t="array" aca="1" ref="E39" ca="1">INDIRECT("'" &amp; C39 &amp; "'!$F$158")</f>
        <v>5</v>
      </c>
      <c r="G39" t="s">
        <v>305</v>
      </c>
      <c r="H39">
        <f ca="1">_xlfn.STDEV.S(D32:D52)</f>
        <v>1.1608699529314419</v>
      </c>
      <c r="M39" t="s">
        <v>305</v>
      </c>
      <c r="N39">
        <f ca="1">_xlfn.STDEV.S(E32:E52)</f>
        <v>0.80474781616295687</v>
      </c>
      <c r="AC39" t="s">
        <v>362</v>
      </c>
      <c r="AD39" s="74">
        <f ca="1">IF(AD41&lt;=AD44,AD41,AD38*(AD38+1)/2)</f>
        <v>10</v>
      </c>
      <c r="AS39" s="37"/>
    </row>
    <row r="40" spans="3:45" ht="15" thickBot="1" x14ac:dyDescent="0.35">
      <c r="C40" s="2" t="s">
        <v>293</v>
      </c>
      <c r="D40" s="37" cm="1">
        <f t="array" aca="1" ref="D40" ca="1">INDIRECT("'" &amp; C40 &amp; "'!$E$158")</f>
        <v>5</v>
      </c>
      <c r="E40" s="37" cm="1">
        <f t="array" aca="1" ref="E40" ca="1">INDIRECT("'" &amp; C40 &amp; "'!$F$158")</f>
        <v>5</v>
      </c>
      <c r="G40" t="s">
        <v>306</v>
      </c>
      <c r="H40">
        <f ca="1">_xlfn.VAR.S(D32:D52)</f>
        <v>1.3476190476190482</v>
      </c>
      <c r="J40" t="s">
        <v>336</v>
      </c>
      <c r="M40" t="s">
        <v>306</v>
      </c>
      <c r="N40">
        <f ca="1">_xlfn.VAR.S(E32:E52)</f>
        <v>0.6476190476190482</v>
      </c>
      <c r="P40" t="s">
        <v>336</v>
      </c>
      <c r="S40" t="s">
        <v>350</v>
      </c>
      <c r="AC40" t="s">
        <v>363</v>
      </c>
      <c r="AD40" s="74">
        <f ca="1">AD38*(AD38+1)/2-AD39</f>
        <v>95</v>
      </c>
      <c r="AS40" s="37"/>
    </row>
    <row r="41" spans="3:45" ht="15" thickTop="1" x14ac:dyDescent="0.3">
      <c r="C41" s="2" t="s">
        <v>294</v>
      </c>
      <c r="D41" s="37" cm="1">
        <f t="array" aca="1" ref="D41" ca="1">INDIRECT("'" &amp; C41 &amp; "'!$E$158")</f>
        <v>3</v>
      </c>
      <c r="E41" s="37" cm="1">
        <f t="array" aca="1" ref="E41" ca="1">INDIRECT("'" &amp; C41 &amp; "'!$F$158")</f>
        <v>5</v>
      </c>
      <c r="G41" t="s">
        <v>307</v>
      </c>
      <c r="H41">
        <f ca="1">KURT(D32:D52)</f>
        <v>-1.4991414157013501</v>
      </c>
      <c r="M41" t="s">
        <v>307</v>
      </c>
      <c r="N41">
        <f ca="1">KURT(E32:E52)</f>
        <v>2.5396671826625403</v>
      </c>
      <c r="S41" s="101" t="s">
        <v>351</v>
      </c>
      <c r="T41" s="101" t="s">
        <v>333</v>
      </c>
      <c r="U41" s="101" t="s">
        <v>352</v>
      </c>
      <c r="V41" s="101" t="s">
        <v>353</v>
      </c>
      <c r="W41" s="101" t="s">
        <v>354</v>
      </c>
      <c r="X41" s="101" t="s">
        <v>355</v>
      </c>
      <c r="AC41" t="s">
        <v>364</v>
      </c>
      <c r="AD41" s="75">
        <f ca="1">[1]!SRANK(D32:D52,E32:E52)</f>
        <v>10</v>
      </c>
      <c r="AS41" s="37"/>
    </row>
    <row r="42" spans="3:45" x14ac:dyDescent="0.3">
      <c r="C42" s="2" t="s">
        <v>295</v>
      </c>
      <c r="D42" s="37" cm="1">
        <f t="array" aca="1" ref="D42" ca="1">INDIRECT("'" &amp; C42 &amp; "'!$E$158")</f>
        <v>5</v>
      </c>
      <c r="E42" s="37" cm="1">
        <f t="array" aca="1" ref="E42" ca="1">INDIRECT("'" &amp; C42 &amp; "'!$F$158")</f>
        <v>5</v>
      </c>
      <c r="G42" t="s">
        <v>308</v>
      </c>
      <c r="H42">
        <f ca="1">SKEW(D32:D52)</f>
        <v>-1.281640964509271E-3</v>
      </c>
      <c r="J42" s="130" t="s">
        <v>337</v>
      </c>
      <c r="K42" s="130">
        <f ca="1">[1]!DAGOSTINO(D32:D52)</f>
        <v>7.1283431461095503</v>
      </c>
      <c r="M42" t="s">
        <v>308</v>
      </c>
      <c r="N42">
        <f ca="1">SKEW(E32:E52)</f>
        <v>-1.4806669164678747</v>
      </c>
      <c r="P42" s="130" t="s">
        <v>337</v>
      </c>
      <c r="Q42" s="130">
        <f ca="1">[1]!DAGOSTINO(E32:E52)</f>
        <v>11.427553499192109</v>
      </c>
      <c r="S42" t="s">
        <v>356</v>
      </c>
      <c r="T42">
        <f ca="1">_xlfn.T.DIST.RT(ABS(X38),Y38)</f>
        <v>1.6180847544961278E-3</v>
      </c>
      <c r="U42">
        <f ca="1">_xlfn.T.INV.2T(W34*2,Y38)</f>
        <v>1.7247182429207868</v>
      </c>
      <c r="X42" s="70" t="str">
        <f ca="1">IF(T42&lt;W34,"yes","no")</f>
        <v>yes</v>
      </c>
      <c r="AS42" s="37"/>
    </row>
    <row r="43" spans="3:45" x14ac:dyDescent="0.3">
      <c r="C43" s="2" t="s">
        <v>296</v>
      </c>
      <c r="D43" s="37" cm="1">
        <f t="array" aca="1" ref="D43" ca="1">INDIRECT("'" &amp; C43 &amp; "'!$E$158")</f>
        <v>2</v>
      </c>
      <c r="E43" s="37" cm="1">
        <f t="array" aca="1" ref="E43" ca="1">INDIRECT("'" &amp; C43 &amp; "'!$F$158")</f>
        <v>3</v>
      </c>
      <c r="G43" t="s">
        <v>309</v>
      </c>
      <c r="H43">
        <f ca="1">H44-H45</f>
        <v>3</v>
      </c>
      <c r="J43" t="s">
        <v>333</v>
      </c>
      <c r="K43">
        <f ca="1">[1]!DPTEST(D32:D52)</f>
        <v>2.8320437182098646E-2</v>
      </c>
      <c r="M43" t="s">
        <v>309</v>
      </c>
      <c r="N43">
        <f ca="1">N44-N45</f>
        <v>3</v>
      </c>
      <c r="P43" t="s">
        <v>333</v>
      </c>
      <c r="Q43">
        <f ca="1">[1]!DPTEST(E32:E52)</f>
        <v>3.3001850062007732E-3</v>
      </c>
      <c r="S43" t="s">
        <v>357</v>
      </c>
      <c r="T43">
        <f ca="1">_xlfn.T.DIST.2T(ABS(X38),Y38)</f>
        <v>3.2361695089922556E-3</v>
      </c>
      <c r="U43">
        <f ca="1">_xlfn.T.INV.2T(W34,Y38)</f>
        <v>2.0859634472658648</v>
      </c>
      <c r="V43">
        <f ca="1">(U36-U37)-W38*U43</f>
        <v>-1.2372456140131054</v>
      </c>
      <c r="W43">
        <f ca="1">(U36-U37)+W38*U43</f>
        <v>-0.28656390979641927</v>
      </c>
      <c r="X43" s="70" t="str">
        <f ca="1">IF(T43&lt;W34,"yes","no")</f>
        <v>yes</v>
      </c>
      <c r="AD43" s="70" t="s">
        <v>365</v>
      </c>
      <c r="AE43" s="70" t="s">
        <v>366</v>
      </c>
    </row>
    <row r="44" spans="3:45" x14ac:dyDescent="0.3">
      <c r="C44" s="2" t="s">
        <v>297</v>
      </c>
      <c r="D44" s="37" cm="1">
        <f t="array" aca="1" ref="D44" ca="1">INDIRECT("'" &amp; C44 &amp; "'!$E$158")</f>
        <v>3</v>
      </c>
      <c r="E44" s="37" cm="1">
        <f t="array" aca="1" ref="E44" ca="1">INDIRECT("'" &amp; C44 &amp; "'!$F$158")</f>
        <v>5</v>
      </c>
      <c r="G44" t="s">
        <v>310</v>
      </c>
      <c r="H44" s="65">
        <f ca="1">MAX(D32:D52)</f>
        <v>5</v>
      </c>
      <c r="J44" t="s">
        <v>334</v>
      </c>
      <c r="K44">
        <v>0.05</v>
      </c>
      <c r="M44" t="s">
        <v>310</v>
      </c>
      <c r="N44" s="65">
        <f ca="1">MAX(E32:E52)</f>
        <v>5</v>
      </c>
      <c r="P44" t="s">
        <v>334</v>
      </c>
      <c r="Q44">
        <v>0.05</v>
      </c>
      <c r="S44" s="130"/>
      <c r="T44" s="130"/>
      <c r="U44" s="130"/>
      <c r="V44" s="130"/>
      <c r="W44" s="130"/>
      <c r="X44" s="130"/>
      <c r="AC44" t="s">
        <v>367</v>
      </c>
      <c r="AD44" s="117">
        <f ca="1">AD38*(AD38+1)/4</f>
        <v>52.5</v>
      </c>
    </row>
    <row r="45" spans="3:45" x14ac:dyDescent="0.3">
      <c r="C45" s="2" t="s">
        <v>298</v>
      </c>
      <c r="D45" s="37" cm="1">
        <f t="array" aca="1" ref="D45" ca="1">INDIRECT("'" &amp; C45 &amp; "'!$E$158")</f>
        <v>3</v>
      </c>
      <c r="E45" s="37" cm="1">
        <f t="array" aca="1" ref="E45" ca="1">INDIRECT("'" &amp; C45 &amp; "'!$F$158")</f>
        <v>4</v>
      </c>
      <c r="G45" t="s">
        <v>311</v>
      </c>
      <c r="H45" s="65">
        <f ca="1">MIN(D32:D52)</f>
        <v>2</v>
      </c>
      <c r="J45" s="112" t="s">
        <v>335</v>
      </c>
      <c r="K45" s="113" t="str">
        <f ca="1">IF(K43&lt;K44,"no","yes")</f>
        <v>no</v>
      </c>
      <c r="M45" t="s">
        <v>311</v>
      </c>
      <c r="N45" s="65">
        <f ca="1">MIN(E32:E52)</f>
        <v>2</v>
      </c>
      <c r="P45" s="112" t="s">
        <v>335</v>
      </c>
      <c r="Q45" s="113" t="str">
        <f ca="1">IF(Q43&lt;Q44,"no","yes")</f>
        <v>no</v>
      </c>
      <c r="AC45" t="s">
        <v>368</v>
      </c>
      <c r="AD45" s="74">
        <f ca="1">SQRT(AD44*(2*AD38+1)/6-[1]!TiesCorrection(D32:D52,E32:E52,1)/48)</f>
        <v>15.411035007422441</v>
      </c>
      <c r="AE45" t="s">
        <v>369</v>
      </c>
    </row>
    <row r="46" spans="3:45" x14ac:dyDescent="0.3">
      <c r="C46" s="2" t="s">
        <v>299</v>
      </c>
      <c r="D46" s="37" cm="1">
        <f t="array" aca="1" ref="D46" ca="1">INDIRECT("'" &amp; C46 &amp; "'!$E$158")</f>
        <v>3</v>
      </c>
      <c r="E46" s="37" cm="1">
        <f t="array" aca="1" ref="E46" ca="1">INDIRECT("'" &amp; C46 &amp; "'!$F$158")</f>
        <v>5</v>
      </c>
      <c r="G46" t="s">
        <v>312</v>
      </c>
      <c r="H46" s="65">
        <f ca="1">SUM(D32:D52)</f>
        <v>76</v>
      </c>
      <c r="M46" t="s">
        <v>312</v>
      </c>
      <c r="N46" s="65">
        <f ca="1">SUM(E32:E52)</f>
        <v>92</v>
      </c>
      <c r="AC46" t="s">
        <v>370</v>
      </c>
      <c r="AD46" s="74">
        <f ca="1">ABS(ABS(AD41-AD44)-1/2)/AD45</f>
        <v>2.7253198749968104</v>
      </c>
      <c r="AE46" t="s">
        <v>371</v>
      </c>
    </row>
    <row r="47" spans="3:45" x14ac:dyDescent="0.3">
      <c r="C47" s="2" t="s">
        <v>395</v>
      </c>
      <c r="D47" s="37" cm="1">
        <f t="array" aca="1" ref="D47" ca="1">INDIRECT("'" &amp; C47 &amp; "'!$E$158")</f>
        <v>4</v>
      </c>
      <c r="E47" s="37" cm="1">
        <f t="array" aca="1" ref="E47" ca="1">INDIRECT("'" &amp; C47 &amp; "'!$F$158")</f>
        <v>5</v>
      </c>
      <c r="G47" t="s">
        <v>313</v>
      </c>
      <c r="H47">
        <f ca="1">COUNT(D32:D52)</f>
        <v>21</v>
      </c>
      <c r="M47" t="s">
        <v>313</v>
      </c>
      <c r="N47">
        <f ca="1">COUNT(E32:E52)</f>
        <v>21</v>
      </c>
      <c r="AC47" t="s">
        <v>372</v>
      </c>
      <c r="AD47" s="74">
        <f ca="1">AD46/SQRT(AD38)</f>
        <v>0.7283723744002607</v>
      </c>
    </row>
    <row r="48" spans="3:45" x14ac:dyDescent="0.3">
      <c r="C48" s="2" t="s">
        <v>396</v>
      </c>
      <c r="D48" s="37" cm="1">
        <f t="array" aca="1" ref="D48" ca="1">INDIRECT("'" &amp; C48 &amp; "'!$E$158")</f>
        <v>4</v>
      </c>
      <c r="E48" s="37" cm="1">
        <f t="array" aca="1" ref="E48" ca="1">INDIRECT("'" &amp; C48 &amp; "'!$F$158")</f>
        <v>5</v>
      </c>
      <c r="G48" t="s">
        <v>314</v>
      </c>
      <c r="H48">
        <f ca="1">GEOMEAN(D32:D52)</f>
        <v>3.4306628263700572</v>
      </c>
      <c r="M48" t="s">
        <v>314</v>
      </c>
      <c r="N48">
        <f ca="1">GEOMEAN(E32:E52)</f>
        <v>4.2907988321666668</v>
      </c>
      <c r="AC48" t="s">
        <v>373</v>
      </c>
      <c r="AD48" s="117">
        <f ca="1">1-_xlfn.NORM.S.DIST(AD46,TRUE)</f>
        <v>3.2119608660317045E-3</v>
      </c>
      <c r="AE48" s="118">
        <f ca="1">2*AD48</f>
        <v>6.423921732063409E-3</v>
      </c>
    </row>
    <row r="49" spans="3:31" x14ac:dyDescent="0.3">
      <c r="C49" s="2" t="s">
        <v>397</v>
      </c>
      <c r="D49" s="37" cm="1">
        <f t="array" aca="1" ref="D49" ca="1">INDIRECT("'" &amp; C49 &amp; "'!$E$158")</f>
        <v>3</v>
      </c>
      <c r="E49" s="37" cm="1">
        <f t="array" aca="1" ref="E49" ca="1">INDIRECT("'" &amp; C49 &amp; "'!$F$158")</f>
        <v>4</v>
      </c>
      <c r="G49" t="s">
        <v>315</v>
      </c>
      <c r="H49">
        <f ca="1">HARMEAN(D32:D52)</f>
        <v>3.2390745501285347</v>
      </c>
      <c r="M49" t="s">
        <v>315</v>
      </c>
      <c r="N49">
        <f ca="1">HARMEAN(E32:E52)</f>
        <v>4.1721854304635757</v>
      </c>
      <c r="AC49" t="s">
        <v>374</v>
      </c>
      <c r="AD49" s="74">
        <f ca="1">[1]!SRDIST(AD41,AD38,1)</f>
        <v>2.62451171875E-3</v>
      </c>
      <c r="AE49" s="77">
        <f ca="1">2*AD49</f>
        <v>5.2490234375E-3</v>
      </c>
    </row>
    <row r="50" spans="3:31" x14ac:dyDescent="0.3">
      <c r="C50" s="2" t="s">
        <v>398</v>
      </c>
      <c r="D50" s="37" cm="1">
        <f t="array" aca="1" ref="D50" ca="1">INDIRECT("'" &amp; C50 &amp; "'!$E$158")</f>
        <v>3</v>
      </c>
      <c r="E50" s="37" cm="1">
        <f t="array" aca="1" ref="E50" ca="1">INDIRECT("'" &amp; C50 &amp; "'!$F$158")</f>
        <v>4</v>
      </c>
      <c r="G50" t="s">
        <v>316</v>
      </c>
      <c r="H50">
        <f ca="1">AVEDEV(D32:D52)</f>
        <v>1.0294784580498866</v>
      </c>
      <c r="M50" t="s">
        <v>316</v>
      </c>
      <c r="N50">
        <f ca="1">AVEDEV(E32:E52)</f>
        <v>0.64852607709750565</v>
      </c>
      <c r="AC50" t="s">
        <v>375</v>
      </c>
      <c r="AD50" s="75" t="s">
        <v>376</v>
      </c>
      <c r="AE50" s="78" t="s">
        <v>376</v>
      </c>
    </row>
    <row r="51" spans="3:31" x14ac:dyDescent="0.3">
      <c r="C51" s="2" t="s">
        <v>399</v>
      </c>
      <c r="D51" s="37" cm="1">
        <f t="array" aca="1" ref="D51" ca="1">INDIRECT("'" &amp; C51 &amp; "'!$E$158")</f>
        <v>5</v>
      </c>
      <c r="E51" s="37" cm="1">
        <f t="array" aca="1" ref="E51" ca="1">INDIRECT("'" &amp; C51 &amp; "'!$F$158")</f>
        <v>5</v>
      </c>
      <c r="G51" t="s">
        <v>317</v>
      </c>
      <c r="H51">
        <f ca="1">[1]!MAD(D32:D52)</f>
        <v>1</v>
      </c>
      <c r="M51" t="s">
        <v>317</v>
      </c>
      <c r="N51">
        <f ca="1">[1]!MAD(E32:E52)</f>
        <v>0</v>
      </c>
    </row>
    <row r="52" spans="3:31" x14ac:dyDescent="0.3">
      <c r="C52" s="2" t="s">
        <v>400</v>
      </c>
      <c r="D52" s="37" cm="1">
        <f t="array" aca="1" ref="D52" ca="1">INDIRECT("'" &amp; C52 &amp; "'!$E$158")</f>
        <v>2</v>
      </c>
      <c r="E52" s="37" cm="1">
        <f t="array" aca="1" ref="E52" ca="1">INDIRECT("'" &amp; C52 &amp; "'!$F$158")</f>
        <v>2</v>
      </c>
      <c r="G52" s="112" t="s">
        <v>318</v>
      </c>
      <c r="H52" s="112">
        <f ca="1">[1]!IQR(D32:D52,FALSE)</f>
        <v>2</v>
      </c>
      <c r="M52" s="112" t="s">
        <v>318</v>
      </c>
      <c r="N52" s="112">
        <f ca="1">[1]!IQR(E32:E52,FALSE)</f>
        <v>1</v>
      </c>
    </row>
    <row r="56" spans="3:31" x14ac:dyDescent="0.3">
      <c r="C56" s="2"/>
      <c r="D56" s="59" t="s">
        <v>187</v>
      </c>
      <c r="E56" s="2"/>
    </row>
    <row r="57" spans="3:31" x14ac:dyDescent="0.3">
      <c r="C57" s="2"/>
      <c r="D57" s="2"/>
      <c r="E57" s="2"/>
    </row>
    <row r="58" spans="3:31" x14ac:dyDescent="0.3">
      <c r="C58" s="2" t="s">
        <v>285</v>
      </c>
      <c r="D58" s="37" cm="1">
        <f t="array" aca="1" ref="D58" ca="1">INDIRECT("'" &amp; C58 &amp; "'!$E$159")</f>
        <v>2</v>
      </c>
      <c r="E58" s="37" cm="1">
        <f t="array" aca="1" ref="E58" ca="1">INDIRECT("'" &amp; C58 &amp; "'!$F$159")</f>
        <v>2</v>
      </c>
      <c r="G58" t="s">
        <v>300</v>
      </c>
      <c r="J58" t="s">
        <v>331</v>
      </c>
      <c r="M58" t="s">
        <v>300</v>
      </c>
      <c r="P58" t="s">
        <v>331</v>
      </c>
      <c r="S58" t="s">
        <v>338</v>
      </c>
      <c r="AC58" t="s">
        <v>358</v>
      </c>
    </row>
    <row r="59" spans="3:31" x14ac:dyDescent="0.3">
      <c r="C59" s="2" t="s">
        <v>286</v>
      </c>
      <c r="D59" s="37" cm="1">
        <f t="array" aca="1" ref="D59" ca="1">INDIRECT("'" &amp; C59 &amp; "'!$E$159")</f>
        <v>2</v>
      </c>
      <c r="E59" s="37" cm="1">
        <f t="array" aca="1" ref="E59" ca="1">INDIRECT("'" &amp; C59 &amp; "'!$F$159")</f>
        <v>1</v>
      </c>
    </row>
    <row r="60" spans="3:31" ht="15" thickBot="1" x14ac:dyDescent="0.35">
      <c r="C60" s="2" t="s">
        <v>287</v>
      </c>
      <c r="D60" s="37" cm="1">
        <f t="array" aca="1" ref="D60" ca="1">INDIRECT("'" &amp; C60 &amp; "'!$E$159")</f>
        <v>2</v>
      </c>
      <c r="E60" s="37" cm="1">
        <f t="array" aca="1" ref="E60" ca="1">INDIRECT("'" &amp; C60 &amp; "'!$F$159")</f>
        <v>1</v>
      </c>
      <c r="G60" s="135"/>
      <c r="H60" s="135" t="s">
        <v>379</v>
      </c>
      <c r="J60" s="135"/>
      <c r="K60" s="135" t="s">
        <v>379</v>
      </c>
      <c r="M60" s="135"/>
      <c r="N60" s="135" t="s">
        <v>379</v>
      </c>
      <c r="P60" s="135"/>
      <c r="Q60" s="135" t="s">
        <v>379</v>
      </c>
      <c r="S60" t="s">
        <v>339</v>
      </c>
      <c r="V60" t="s">
        <v>340</v>
      </c>
      <c r="W60">
        <v>0.05</v>
      </c>
      <c r="Y60" t="s">
        <v>341</v>
      </c>
      <c r="Z60">
        <v>0</v>
      </c>
      <c r="AD60" t="s">
        <v>381</v>
      </c>
      <c r="AE60" t="s">
        <v>382</v>
      </c>
    </row>
    <row r="61" spans="3:31" ht="15" thickTop="1" x14ac:dyDescent="0.3">
      <c r="C61" s="2" t="s">
        <v>288</v>
      </c>
      <c r="D61" s="37" cm="1">
        <f t="array" aca="1" ref="D61" ca="1">INDIRECT("'" &amp; C61 &amp; "'!$E$159")</f>
        <v>3</v>
      </c>
      <c r="E61" s="37" cm="1">
        <f t="array" aca="1" ref="E61" ca="1">INDIRECT("'" &amp; C61 &amp; "'!$F$159")</f>
        <v>1</v>
      </c>
      <c r="G61" t="s">
        <v>301</v>
      </c>
      <c r="H61" s="65">
        <f ca="1">AVERAGE(D58:D78)</f>
        <v>1.6190476190476191</v>
      </c>
      <c r="J61" t="s">
        <v>332</v>
      </c>
      <c r="K61">
        <f ca="1">[1]!SHAPIRO(D58:D78)</f>
        <v>0.66279052368794455</v>
      </c>
      <c r="M61" t="s">
        <v>301</v>
      </c>
      <c r="N61" s="65">
        <f ca="1">AVERAGE(E58:E78)</f>
        <v>1.0952380952380953</v>
      </c>
      <c r="P61" t="s">
        <v>332</v>
      </c>
      <c r="Q61">
        <f ca="1">[1]!SHAPIRO(E58:E78)</f>
        <v>0.34140676961128619</v>
      </c>
      <c r="S61" s="101" t="s">
        <v>342</v>
      </c>
      <c r="T61" s="101" t="s">
        <v>313</v>
      </c>
      <c r="U61" s="101" t="s">
        <v>301</v>
      </c>
      <c r="V61" s="101" t="s">
        <v>343</v>
      </c>
      <c r="W61" s="101" t="s">
        <v>344</v>
      </c>
      <c r="X61" s="101" t="s">
        <v>345</v>
      </c>
      <c r="Y61" s="101" t="s">
        <v>346</v>
      </c>
      <c r="Z61" s="101" t="s">
        <v>347</v>
      </c>
      <c r="AA61" s="101" t="s">
        <v>348</v>
      </c>
      <c r="AC61" t="s">
        <v>359</v>
      </c>
      <c r="AD61" s="115">
        <f ca="1">MEDIAN(D58:D78)</f>
        <v>1</v>
      </c>
      <c r="AE61" s="116">
        <f ca="1">MEDIAN(E58:E78)</f>
        <v>1</v>
      </c>
    </row>
    <row r="62" spans="3:31" x14ac:dyDescent="0.3">
      <c r="C62" s="2" t="s">
        <v>289</v>
      </c>
      <c r="D62" s="37" cm="1">
        <f t="array" aca="1" ref="D62" ca="1">INDIRECT("'" &amp; C62 &amp; "'!$E$159")</f>
        <v>1</v>
      </c>
      <c r="E62" s="37" cm="1">
        <f t="array" aca="1" ref="E62" ca="1">INDIRECT("'" &amp; C62 &amp; "'!$F$159")</f>
        <v>1</v>
      </c>
      <c r="G62" t="s">
        <v>302</v>
      </c>
      <c r="H62">
        <f ca="1">_xlfn.STDEV.S(D58:D78)/SQRT(COUNT(D58:D78))</f>
        <v>0.22335313142016333</v>
      </c>
      <c r="J62" t="s">
        <v>333</v>
      </c>
      <c r="K62">
        <f ca="1">[1]!SWTEST(D58:D78)</f>
        <v>9.7996309423864503E-6</v>
      </c>
      <c r="M62" t="s">
        <v>302</v>
      </c>
      <c r="N62">
        <f ca="1">_xlfn.STDEV.S(E58:E78)/SQRT(COUNT(E58:E78))</f>
        <v>6.5638327390905832E-2</v>
      </c>
      <c r="P62" t="s">
        <v>333</v>
      </c>
      <c r="Q62">
        <f ca="1">[1]!SWTEST(E58:E78)</f>
        <v>9.3990100147323119E-9</v>
      </c>
      <c r="S62" t="s">
        <v>379</v>
      </c>
      <c r="T62">
        <f ca="1">COUNT(D58:D78)</f>
        <v>21</v>
      </c>
      <c r="U62" s="65">
        <f ca="1">AVERAGE(D58:D78)</f>
        <v>1.6190476190476191</v>
      </c>
      <c r="V62">
        <f ca="1">_xlfn.STDEV.S(D58:D78)</f>
        <v>1.023532631438318</v>
      </c>
    </row>
    <row r="63" spans="3:31" x14ac:dyDescent="0.3">
      <c r="C63" s="2" t="s">
        <v>290</v>
      </c>
      <c r="D63" s="37" cm="1">
        <f t="array" aca="1" ref="D63" ca="1">INDIRECT("'" &amp; C63 &amp; "'!$E$159")</f>
        <v>2</v>
      </c>
      <c r="E63" s="37" cm="1">
        <f t="array" aca="1" ref="E63" ca="1">INDIRECT("'" &amp; C63 &amp; "'!$F$159")</f>
        <v>1</v>
      </c>
      <c r="G63" t="s">
        <v>303</v>
      </c>
      <c r="H63" s="65">
        <f ca="1">MEDIAN(D58:D78)</f>
        <v>1</v>
      </c>
      <c r="J63" t="s">
        <v>334</v>
      </c>
      <c r="K63">
        <v>0.05</v>
      </c>
      <c r="M63" t="s">
        <v>303</v>
      </c>
      <c r="N63" s="65">
        <f ca="1">MEDIAN(E58:E78)</f>
        <v>1</v>
      </c>
      <c r="P63" t="s">
        <v>334</v>
      </c>
      <c r="Q63">
        <v>0.05</v>
      </c>
      <c r="S63" t="s">
        <v>380</v>
      </c>
      <c r="T63">
        <f ca="1">COUNT(E58:E78)</f>
        <v>21</v>
      </c>
      <c r="U63" s="65">
        <f ca="1">AVERAGE(E58:E78)</f>
        <v>1.0952380952380953</v>
      </c>
      <c r="V63">
        <f ca="1">_xlfn.STDEV.S(E58:E78)</f>
        <v>0.30079260375911926</v>
      </c>
      <c r="AC63" t="s">
        <v>360</v>
      </c>
      <c r="AD63" s="117">
        <f ca="1">SUMPRODUCT(--ISNUMBER(D58:D78),--ISNUMBER(E58:E78))</f>
        <v>21</v>
      </c>
    </row>
    <row r="64" spans="3:31" x14ac:dyDescent="0.3">
      <c r="C64" s="2" t="s">
        <v>291</v>
      </c>
      <c r="D64" s="37" cm="1">
        <f t="array" aca="1" ref="D64" ca="1">INDIRECT("'" &amp; C64 &amp; "'!$E$159")</f>
        <v>1</v>
      </c>
      <c r="E64" s="37" cm="1">
        <f t="array" aca="1" ref="E64" ca="1">INDIRECT("'" &amp; C64 &amp; "'!$F$159")</f>
        <v>1</v>
      </c>
      <c r="G64" t="s">
        <v>304</v>
      </c>
      <c r="H64">
        <f ca="1">MODE(D58:D78)</f>
        <v>1</v>
      </c>
      <c r="J64" s="134" t="s">
        <v>335</v>
      </c>
      <c r="K64" s="136" t="str">
        <f ca="1">IF(K62&lt;K63,"no","yes")</f>
        <v>no</v>
      </c>
      <c r="M64" t="s">
        <v>304</v>
      </c>
      <c r="N64">
        <f ca="1">MODE(E58:E78)</f>
        <v>1</v>
      </c>
      <c r="P64" s="134" t="s">
        <v>335</v>
      </c>
      <c r="Q64" s="136" t="str">
        <f ca="1">IF(Q62&lt;Q63,"no","yes")</f>
        <v>no</v>
      </c>
      <c r="S64" s="130" t="s">
        <v>349</v>
      </c>
      <c r="T64" s="130">
        <f ca="1">T63</f>
        <v>21</v>
      </c>
      <c r="U64" s="131">
        <f ca="1">U62-U63</f>
        <v>0.52380952380952372</v>
      </c>
      <c r="V64" s="130">
        <f t="array" aca="1" ref="V64" ca="1">_xlfn.STDEV.S(D58:D78-E58:E78)</f>
        <v>1.0779168622415931</v>
      </c>
      <c r="W64" s="130">
        <f ca="1">V64/SQRT(T64)</f>
        <v>0.2352207435281613</v>
      </c>
      <c r="X64" s="130">
        <f ca="1">(U62-U63-Z60)/W64</f>
        <v>2.2268849079920185</v>
      </c>
      <c r="Y64" s="130">
        <f ca="1">T64-1</f>
        <v>20</v>
      </c>
      <c r="Z64" s="130">
        <f ca="1">ABS(U62-U63-Z60)/V64</f>
        <v>0.48594612642039037</v>
      </c>
      <c r="AA64" s="130">
        <f ca="1">SQRT(X64^2/(X64^2+Y64))</f>
        <v>0.44574249416020917</v>
      </c>
      <c r="AC64" t="s">
        <v>361</v>
      </c>
      <c r="AD64" s="74">
        <f ca="1">SUMPRODUCT(--ISNUMBER(D58:D78),--ISNUMBER(E58:E78),--(D58:D78&lt;&gt;E58:E78))</f>
        <v>8</v>
      </c>
    </row>
    <row r="65" spans="3:31" x14ac:dyDescent="0.3">
      <c r="C65" s="2" t="s">
        <v>292</v>
      </c>
      <c r="D65" s="37" cm="1">
        <f t="array" aca="1" ref="D65" ca="1">INDIRECT("'" &amp; C65 &amp; "'!$E$159")</f>
        <v>1</v>
      </c>
      <c r="E65" s="37" cm="1">
        <f t="array" aca="1" ref="E65" ca="1">INDIRECT("'" &amp; C65 &amp; "'!$F$159")</f>
        <v>1</v>
      </c>
      <c r="G65" t="s">
        <v>305</v>
      </c>
      <c r="H65">
        <f ca="1">_xlfn.STDEV.S(D58:D78)</f>
        <v>1.023532631438318</v>
      </c>
      <c r="M65" t="s">
        <v>305</v>
      </c>
      <c r="N65">
        <f ca="1">_xlfn.STDEV.S(E58:E78)</f>
        <v>0.30079260375911926</v>
      </c>
      <c r="AC65" t="s">
        <v>362</v>
      </c>
      <c r="AD65" s="74">
        <f ca="1">IF(AD67&lt;=AD70,AD67,AD64*(AD64+1)/2)</f>
        <v>3</v>
      </c>
    </row>
    <row r="66" spans="3:31" ht="15" thickBot="1" x14ac:dyDescent="0.35">
      <c r="C66" s="2" t="s">
        <v>293</v>
      </c>
      <c r="D66" s="37" cm="1">
        <f t="array" aca="1" ref="D66" ca="1">INDIRECT("'" &amp; C66 &amp; "'!$E$159")</f>
        <v>1</v>
      </c>
      <c r="E66" s="37" cm="1">
        <f t="array" aca="1" ref="E66" ca="1">INDIRECT("'" &amp; C66 &amp; "'!$F$159")</f>
        <v>1</v>
      </c>
      <c r="G66" t="s">
        <v>306</v>
      </c>
      <c r="H66">
        <f ca="1">_xlfn.VAR.S(D58:D78)</f>
        <v>1.0476190476190474</v>
      </c>
      <c r="J66" t="s">
        <v>336</v>
      </c>
      <c r="M66" t="s">
        <v>306</v>
      </c>
      <c r="N66">
        <f ca="1">_xlfn.VAR.S(E58:E78)</f>
        <v>9.0476190476190516E-2</v>
      </c>
      <c r="P66" t="s">
        <v>336</v>
      </c>
      <c r="S66" t="s">
        <v>350</v>
      </c>
      <c r="AC66" t="s">
        <v>363</v>
      </c>
      <c r="AD66" s="74">
        <f ca="1">AD64*(AD64+1)/2-AD65</f>
        <v>33</v>
      </c>
    </row>
    <row r="67" spans="3:31" ht="15" thickTop="1" x14ac:dyDescent="0.3">
      <c r="C67" s="2" t="s">
        <v>294</v>
      </c>
      <c r="D67" s="37" cm="1">
        <f t="array" aca="1" ref="D67" ca="1">INDIRECT("'" &amp; C67 &amp; "'!$E$159")</f>
        <v>1</v>
      </c>
      <c r="E67" s="37" cm="1">
        <f t="array" aca="1" ref="E67" ca="1">INDIRECT("'" &amp; C67 &amp; "'!$F$159")</f>
        <v>1</v>
      </c>
      <c r="G67" t="s">
        <v>307</v>
      </c>
      <c r="H67">
        <f ca="1">KURT(D58:D78)</f>
        <v>5.1043062200956868</v>
      </c>
      <c r="M67" t="s">
        <v>307</v>
      </c>
      <c r="N67">
        <f ca="1">KURT(E58:E78)</f>
        <v>7.5623268698060961</v>
      </c>
      <c r="S67" s="101" t="s">
        <v>351</v>
      </c>
      <c r="T67" s="101" t="s">
        <v>333</v>
      </c>
      <c r="U67" s="101" t="s">
        <v>352</v>
      </c>
      <c r="V67" s="101" t="s">
        <v>353</v>
      </c>
      <c r="W67" s="101" t="s">
        <v>354</v>
      </c>
      <c r="X67" s="101" t="s">
        <v>355</v>
      </c>
      <c r="AC67" t="s">
        <v>364</v>
      </c>
      <c r="AD67" s="132">
        <f ca="1">[1]!SRANK(D58:D78,E58:E78)</f>
        <v>3</v>
      </c>
    </row>
    <row r="68" spans="3:31" x14ac:dyDescent="0.3">
      <c r="C68" s="2" t="s">
        <v>295</v>
      </c>
      <c r="D68" s="37" cm="1">
        <f t="array" aca="1" ref="D68" ca="1">INDIRECT("'" &amp; C68 &amp; "'!$E$159")</f>
        <v>1</v>
      </c>
      <c r="E68" s="37" cm="1">
        <f t="array" aca="1" ref="E68" ca="1">INDIRECT("'" &amp; C68 &amp; "'!$F$159")</f>
        <v>1</v>
      </c>
      <c r="G68" t="s">
        <v>308</v>
      </c>
      <c r="H68">
        <f ca="1">SKEW(D58:D78)</f>
        <v>2.1185656285177803</v>
      </c>
      <c r="J68" s="130" t="s">
        <v>337</v>
      </c>
      <c r="K68" s="130">
        <f ca="1">[1]!DAGOSTINO(D58:D78)</f>
        <v>20.839453231328644</v>
      </c>
      <c r="M68" t="s">
        <v>308</v>
      </c>
      <c r="N68">
        <f ca="1">SKEW(E58:E78)</f>
        <v>2.9745972172300705</v>
      </c>
      <c r="P68" s="130" t="s">
        <v>337</v>
      </c>
      <c r="Q68" s="130">
        <f ca="1">[1]!DAGOSTINO(E58:E78)</f>
        <v>31.034118274189989</v>
      </c>
      <c r="S68" t="s">
        <v>356</v>
      </c>
      <c r="T68">
        <f ca="1">_xlfn.T.DIST.RT(ABS(X64),Y64)</f>
        <v>1.880290218975162E-2</v>
      </c>
      <c r="U68">
        <f ca="1">_xlfn.T.INV.2T(W60*2,Y64)</f>
        <v>1.7247182429207868</v>
      </c>
      <c r="X68" s="70" t="str">
        <f ca="1">IF(T68&lt;W60,"yes","no")</f>
        <v>yes</v>
      </c>
    </row>
    <row r="69" spans="3:31" x14ac:dyDescent="0.3">
      <c r="C69" s="2" t="s">
        <v>296</v>
      </c>
      <c r="D69" s="37" cm="1">
        <f t="array" aca="1" ref="D69" ca="1">INDIRECT("'" &amp; C69 &amp; "'!$E$159")</f>
        <v>1</v>
      </c>
      <c r="E69" s="37" cm="1">
        <f t="array" aca="1" ref="E69" ca="1">INDIRECT("'" &amp; C69 &amp; "'!$F$159")</f>
        <v>2</v>
      </c>
      <c r="G69" t="s">
        <v>309</v>
      </c>
      <c r="H69">
        <f ca="1">H70-H71</f>
        <v>4</v>
      </c>
      <c r="J69" t="s">
        <v>333</v>
      </c>
      <c r="K69">
        <f ca="1">[1]!DPTEST(D58:D78)</f>
        <v>2.9838035606855051E-5</v>
      </c>
      <c r="M69" t="s">
        <v>309</v>
      </c>
      <c r="N69">
        <f ca="1">N70-N71</f>
        <v>1</v>
      </c>
      <c r="P69" t="s">
        <v>333</v>
      </c>
      <c r="Q69">
        <f ca="1">[1]!DPTEST(E58:E78)</f>
        <v>1.8240084309617544E-7</v>
      </c>
      <c r="S69" t="s">
        <v>357</v>
      </c>
      <c r="T69">
        <f ca="1">_xlfn.T.DIST.2T(ABS(X64),Y64)</f>
        <v>3.7605804379503241E-2</v>
      </c>
      <c r="U69">
        <f ca="1">_xlfn.T.INV.2T(W60,Y64)</f>
        <v>2.0859634472658648</v>
      </c>
      <c r="V69">
        <f ca="1">(U62-U63)-W64*U69</f>
        <v>3.3147650771080506E-2</v>
      </c>
      <c r="W69">
        <f ca="1">(U62-U63)+W64*U69</f>
        <v>1.0144713968479668</v>
      </c>
      <c r="X69" s="70" t="str">
        <f ca="1">IF(T69&lt;W60,"yes","no")</f>
        <v>yes</v>
      </c>
      <c r="AD69" s="70" t="s">
        <v>365</v>
      </c>
      <c r="AE69" s="70" t="s">
        <v>366</v>
      </c>
    </row>
    <row r="70" spans="3:31" x14ac:dyDescent="0.3">
      <c r="C70" s="2" t="s">
        <v>297</v>
      </c>
      <c r="D70" s="37" cm="1">
        <f t="array" aca="1" ref="D70" ca="1">INDIRECT("'" &amp; C70 &amp; "'!$E$159")</f>
        <v>1</v>
      </c>
      <c r="E70" s="37" cm="1">
        <f t="array" aca="1" ref="E70" ca="1">INDIRECT("'" &amp; C70 &amp; "'!$F$159")</f>
        <v>1</v>
      </c>
      <c r="G70" t="s">
        <v>310</v>
      </c>
      <c r="H70" s="65">
        <f ca="1">MAX(D58:D78)</f>
        <v>5</v>
      </c>
      <c r="J70" t="s">
        <v>334</v>
      </c>
      <c r="K70">
        <v>0.05</v>
      </c>
      <c r="M70" t="s">
        <v>310</v>
      </c>
      <c r="N70" s="65">
        <f ca="1">MAX(E58:E78)</f>
        <v>2</v>
      </c>
      <c r="P70" t="s">
        <v>334</v>
      </c>
      <c r="Q70">
        <v>0.05</v>
      </c>
      <c r="S70" s="130"/>
      <c r="T70" s="130"/>
      <c r="U70" s="130"/>
      <c r="V70" s="130"/>
      <c r="W70" s="130"/>
      <c r="X70" s="130"/>
      <c r="AC70" t="s">
        <v>367</v>
      </c>
      <c r="AD70" s="117">
        <f ca="1">AD64*(AD64+1)/4</f>
        <v>18</v>
      </c>
    </row>
    <row r="71" spans="3:31" x14ac:dyDescent="0.3">
      <c r="C71" s="2" t="s">
        <v>298</v>
      </c>
      <c r="D71" s="37" cm="1">
        <f t="array" aca="1" ref="D71" ca="1">INDIRECT("'" &amp; C71 &amp; "'!$E$159")</f>
        <v>1</v>
      </c>
      <c r="E71" s="37" cm="1">
        <f t="array" aca="1" ref="E71" ca="1">INDIRECT("'" &amp; C71 &amp; "'!$F$159")</f>
        <v>1</v>
      </c>
      <c r="G71" t="s">
        <v>311</v>
      </c>
      <c r="H71" s="65">
        <f ca="1">MIN(D58:D78)</f>
        <v>1</v>
      </c>
      <c r="J71" s="134" t="s">
        <v>335</v>
      </c>
      <c r="K71" s="136" t="str">
        <f ca="1">IF(K69&lt;K70,"no","yes")</f>
        <v>no</v>
      </c>
      <c r="M71" t="s">
        <v>311</v>
      </c>
      <c r="N71" s="65">
        <f ca="1">MIN(E58:E78)</f>
        <v>1</v>
      </c>
      <c r="P71" s="134" t="s">
        <v>335</v>
      </c>
      <c r="Q71" s="136" t="str">
        <f ca="1">IF(Q69&lt;Q70,"no","yes")</f>
        <v>no</v>
      </c>
      <c r="AC71" t="s">
        <v>368</v>
      </c>
      <c r="AD71" s="74">
        <f ca="1">SQRT(AD70*(2*AD64+1)/6-[1]!TiesCorrection(D58:D78,E58:E78,1)/48)</f>
        <v>6.955213871621778</v>
      </c>
      <c r="AE71" t="s">
        <v>369</v>
      </c>
    </row>
    <row r="72" spans="3:31" x14ac:dyDescent="0.3">
      <c r="C72" s="2" t="s">
        <v>299</v>
      </c>
      <c r="D72" s="37" cm="1">
        <f t="array" aca="1" ref="D72" ca="1">INDIRECT("'" &amp; C72 &amp; "'!$E$159")</f>
        <v>1</v>
      </c>
      <c r="E72" s="37" cm="1">
        <f t="array" aca="1" ref="E72" ca="1">INDIRECT("'" &amp; C72 &amp; "'!$F$159")</f>
        <v>1</v>
      </c>
      <c r="G72" t="s">
        <v>312</v>
      </c>
      <c r="H72" s="65">
        <f ca="1">SUM(D58:D78)</f>
        <v>34</v>
      </c>
      <c r="M72" t="s">
        <v>312</v>
      </c>
      <c r="N72" s="65">
        <f ca="1">SUM(E58:E78)</f>
        <v>23</v>
      </c>
      <c r="AC72" t="s">
        <v>370</v>
      </c>
      <c r="AD72" s="74">
        <f ca="1">ABS(ABS(AD67-AD70)-1/2)/AD71</f>
        <v>2.0847669485998095</v>
      </c>
      <c r="AE72" t="s">
        <v>371</v>
      </c>
    </row>
    <row r="73" spans="3:31" x14ac:dyDescent="0.3">
      <c r="C73" s="2" t="s">
        <v>395</v>
      </c>
      <c r="D73" s="37" cm="1">
        <f t="array" aca="1" ref="D73" ca="1">INDIRECT("'" &amp; C73 &amp; "'!$E$159")</f>
        <v>5</v>
      </c>
      <c r="E73" s="37" cm="1">
        <f t="array" aca="1" ref="E73" ca="1">INDIRECT("'" &amp; C73 &amp; "'!$F$159")</f>
        <v>1</v>
      </c>
      <c r="G73" t="s">
        <v>313</v>
      </c>
      <c r="H73">
        <f ca="1">COUNT(D58:D78)</f>
        <v>21</v>
      </c>
      <c r="M73" t="s">
        <v>313</v>
      </c>
      <c r="N73">
        <f ca="1">COUNT(E58:E78)</f>
        <v>21</v>
      </c>
      <c r="AC73" t="s">
        <v>372</v>
      </c>
      <c r="AD73" s="74">
        <f ca="1">AD72/SQRT(AD64)</f>
        <v>0.73707642327425593</v>
      </c>
    </row>
    <row r="74" spans="3:31" x14ac:dyDescent="0.3">
      <c r="C74" s="2" t="s">
        <v>396</v>
      </c>
      <c r="D74" s="37" cm="1">
        <f t="array" aca="1" ref="D74" ca="1">INDIRECT("'" &amp; C74 &amp; "'!$E$159")</f>
        <v>3</v>
      </c>
      <c r="E74" s="37" cm="1">
        <f t="array" aca="1" ref="E74" ca="1">INDIRECT("'" &amp; C74 &amp; "'!$F$159")</f>
        <v>1</v>
      </c>
      <c r="G74" t="s">
        <v>314</v>
      </c>
      <c r="H74">
        <f ca="1">GEOMEAN(D58:D78)</f>
        <v>1.413833324515164</v>
      </c>
      <c r="M74" t="s">
        <v>314</v>
      </c>
      <c r="N74">
        <f ca="1">GEOMEAN(E58:E78)</f>
        <v>1.0682416908144021</v>
      </c>
      <c r="AC74" t="s">
        <v>373</v>
      </c>
      <c r="AD74" s="117">
        <f ca="1">1-_xlfn.NORM.S.DIST(AD72,TRUE)</f>
        <v>1.854523011358189E-2</v>
      </c>
      <c r="AE74" s="118">
        <f ca="1">2*AD74</f>
        <v>3.709046022716378E-2</v>
      </c>
    </row>
    <row r="75" spans="3:31" x14ac:dyDescent="0.3">
      <c r="C75" s="2" t="s">
        <v>397</v>
      </c>
      <c r="D75" s="37" cm="1">
        <f t="array" aca="1" ref="D75" ca="1">INDIRECT("'" &amp; C75 &amp; "'!$E$159")</f>
        <v>1</v>
      </c>
      <c r="E75" s="37" cm="1">
        <f t="array" aca="1" ref="E75" ca="1">INDIRECT("'" &amp; C75 &amp; "'!$F$159")</f>
        <v>1</v>
      </c>
      <c r="G75" t="s">
        <v>315</v>
      </c>
      <c r="H75">
        <f ca="1">HARMEAN(D58:D78)</f>
        <v>1.2830957230142566</v>
      </c>
      <c r="M75" t="s">
        <v>315</v>
      </c>
      <c r="N75">
        <f ca="1">HARMEAN(E58:E78)</f>
        <v>1.05</v>
      </c>
      <c r="AC75" t="s">
        <v>374</v>
      </c>
      <c r="AD75" s="74">
        <f ca="1">[1]!SRDIST(AD67,AD64,1)</f>
        <v>1.953125E-2</v>
      </c>
      <c r="AE75" s="77">
        <f ca="1">2*AD75</f>
        <v>3.90625E-2</v>
      </c>
    </row>
    <row r="76" spans="3:31" x14ac:dyDescent="0.3">
      <c r="C76" s="2" t="s">
        <v>398</v>
      </c>
      <c r="D76" s="37" cm="1">
        <f t="array" aca="1" ref="D76" ca="1">INDIRECT("'" &amp; C76 &amp; "'!$E$159")</f>
        <v>1</v>
      </c>
      <c r="E76" s="37" cm="1">
        <f t="array" aca="1" ref="E76" ca="1">INDIRECT("'" &amp; C76 &amp; "'!$F$159")</f>
        <v>1</v>
      </c>
      <c r="G76" t="s">
        <v>316</v>
      </c>
      <c r="H76">
        <f ca="1">AVEDEV(D58:D78)</f>
        <v>0.76643990929705197</v>
      </c>
      <c r="M76" t="s">
        <v>316</v>
      </c>
      <c r="N76">
        <f ca="1">AVEDEV(E58:E78)</f>
        <v>0.17233560090702957</v>
      </c>
      <c r="AC76" t="s">
        <v>375</v>
      </c>
      <c r="AD76" s="132" t="s">
        <v>376</v>
      </c>
      <c r="AE76" s="133" t="s">
        <v>376</v>
      </c>
    </row>
    <row r="77" spans="3:31" x14ac:dyDescent="0.3">
      <c r="C77" s="2" t="s">
        <v>399</v>
      </c>
      <c r="D77" s="37" cm="1">
        <f t="array" aca="1" ref="D77" ca="1">INDIRECT("'" &amp; C77 &amp; "'!$E$159")</f>
        <v>1</v>
      </c>
      <c r="E77" s="37" cm="1">
        <f t="array" aca="1" ref="E77" ca="1">INDIRECT("'" &amp; C77 &amp; "'!$F$159")</f>
        <v>1</v>
      </c>
      <c r="G77" t="s">
        <v>317</v>
      </c>
      <c r="H77">
        <f ca="1">[1]!MAD(D58:D78)</f>
        <v>0</v>
      </c>
      <c r="M77" t="s">
        <v>317</v>
      </c>
      <c r="N77">
        <f ca="1">[1]!MAD(E58:E78)</f>
        <v>0</v>
      </c>
    </row>
    <row r="78" spans="3:31" x14ac:dyDescent="0.3">
      <c r="C78" s="2" t="s">
        <v>400</v>
      </c>
      <c r="D78" s="37" cm="1">
        <f t="array" aca="1" ref="D78" ca="1">INDIRECT("'" &amp; C78 &amp; "'!$E$159")</f>
        <v>2</v>
      </c>
      <c r="E78" s="37" cm="1">
        <f t="array" aca="1" ref="E78" ca="1">INDIRECT("'" &amp; C78 &amp; "'!$F$159")</f>
        <v>1</v>
      </c>
      <c r="G78" s="134" t="s">
        <v>318</v>
      </c>
      <c r="H78" s="134">
        <f ca="1">[1]!IQR(D58:D78,FALSE)</f>
        <v>1</v>
      </c>
      <c r="M78" s="134" t="s">
        <v>318</v>
      </c>
      <c r="N78" s="134">
        <f ca="1">[1]!IQR(E58:E78,FALSE)</f>
        <v>0</v>
      </c>
    </row>
    <row r="83" spans="2:31" x14ac:dyDescent="0.3">
      <c r="C83" s="2"/>
      <c r="D83" s="58" t="s">
        <v>190</v>
      </c>
      <c r="E83" s="2"/>
      <c r="S83" t="s">
        <v>338</v>
      </c>
      <c r="AC83" t="s">
        <v>358</v>
      </c>
    </row>
    <row r="84" spans="2:31" x14ac:dyDescent="0.3">
      <c r="C84" s="2"/>
      <c r="D84" s="2"/>
      <c r="E84" s="2"/>
    </row>
    <row r="85" spans="2:31" ht="15" thickBot="1" x14ac:dyDescent="0.35">
      <c r="C85" s="2" t="s">
        <v>285</v>
      </c>
      <c r="D85" s="37" cm="1">
        <f t="array" aca="1" ref="D85" ca="1">INDIRECT("'" &amp; C85 &amp; "'!$E$160")</f>
        <v>4</v>
      </c>
      <c r="E85" s="37" cm="1">
        <f t="array" aca="1" ref="E85" ca="1">INDIRECT("'" &amp; C85 &amp; "'!$F$160")</f>
        <v>2</v>
      </c>
      <c r="G85" t="s">
        <v>300</v>
      </c>
      <c r="J85" t="s">
        <v>331</v>
      </c>
      <c r="M85" t="s">
        <v>300</v>
      </c>
      <c r="P85" t="s">
        <v>331</v>
      </c>
      <c r="S85" t="s">
        <v>339</v>
      </c>
      <c r="V85" t="s">
        <v>340</v>
      </c>
      <c r="W85">
        <v>0.05</v>
      </c>
      <c r="Y85" t="s">
        <v>341</v>
      </c>
      <c r="Z85">
        <v>0</v>
      </c>
      <c r="AD85" t="s">
        <v>381</v>
      </c>
      <c r="AE85" t="s">
        <v>382</v>
      </c>
    </row>
    <row r="86" spans="2:31" ht="15" thickTop="1" x14ac:dyDescent="0.3">
      <c r="C86" s="2" t="s">
        <v>286</v>
      </c>
      <c r="D86" s="37" cm="1">
        <f t="array" aca="1" ref="D86" ca="1">INDIRECT("'" &amp; C86 &amp; "'!$E$160")</f>
        <v>4</v>
      </c>
      <c r="E86" s="37" cm="1">
        <f t="array" aca="1" ref="E86" ca="1">INDIRECT("'" &amp; C86 &amp; "'!$F$160")</f>
        <v>4</v>
      </c>
      <c r="S86" s="101" t="s">
        <v>342</v>
      </c>
      <c r="T86" s="101" t="s">
        <v>313</v>
      </c>
      <c r="U86" s="101" t="s">
        <v>301</v>
      </c>
      <c r="V86" s="101" t="s">
        <v>343</v>
      </c>
      <c r="W86" s="101" t="s">
        <v>344</v>
      </c>
      <c r="X86" s="101" t="s">
        <v>345</v>
      </c>
      <c r="Y86" s="101" t="s">
        <v>346</v>
      </c>
      <c r="Z86" s="101" t="s">
        <v>347</v>
      </c>
      <c r="AA86" s="101" t="s">
        <v>348</v>
      </c>
      <c r="AC86" t="s">
        <v>359</v>
      </c>
      <c r="AD86" s="115">
        <f ca="1">MEDIAN(D85:D105)</f>
        <v>5</v>
      </c>
      <c r="AE86" s="116">
        <f ca="1">MEDIAN(E85:E105)</f>
        <v>5</v>
      </c>
    </row>
    <row r="87" spans="2:31" x14ac:dyDescent="0.3">
      <c r="B87" s="79"/>
      <c r="C87" s="2" t="s">
        <v>287</v>
      </c>
      <c r="D87" s="37" cm="1">
        <f t="array" aca="1" ref="D87" ca="1">INDIRECT("'" &amp; C87 &amp; "'!$E$160")</f>
        <v>3</v>
      </c>
      <c r="E87" s="37" cm="1">
        <f t="array" aca="1" ref="E87" ca="1">INDIRECT("'" &amp; C87 &amp; "'!$F$160")</f>
        <v>5</v>
      </c>
      <c r="F87" s="79"/>
      <c r="G87" s="135"/>
      <c r="H87" s="135" t="s">
        <v>379</v>
      </c>
      <c r="J87" s="135"/>
      <c r="K87" s="135" t="s">
        <v>379</v>
      </c>
      <c r="M87" s="135"/>
      <c r="N87" s="135" t="s">
        <v>379</v>
      </c>
      <c r="P87" s="135"/>
      <c r="Q87" s="135" t="s">
        <v>379</v>
      </c>
      <c r="S87" t="s">
        <v>379</v>
      </c>
      <c r="T87">
        <f ca="1">COUNT(D85:D105)</f>
        <v>21</v>
      </c>
      <c r="U87" s="65">
        <f ca="1">AVERAGE(D85:D105)</f>
        <v>4.5714285714285712</v>
      </c>
      <c r="V87">
        <f ca="1">_xlfn.STDEV.S(D85:D105)</f>
        <v>0.6761234037828141</v>
      </c>
    </row>
    <row r="88" spans="2:31" x14ac:dyDescent="0.3">
      <c r="C88" s="2" t="s">
        <v>288</v>
      </c>
      <c r="D88" s="37" cm="1">
        <f t="array" aca="1" ref="D88" ca="1">INDIRECT("'" &amp; C88 &amp; "'!$E$160")</f>
        <v>4</v>
      </c>
      <c r="E88" s="37" cm="1">
        <f t="array" aca="1" ref="E88" ca="1">INDIRECT("'" &amp; C88 &amp; "'!$F$160")</f>
        <v>5</v>
      </c>
      <c r="F88" s="65"/>
      <c r="G88" t="s">
        <v>301</v>
      </c>
      <c r="H88" s="65">
        <f ca="1">AVERAGE(D85:D105)</f>
        <v>4.5714285714285712</v>
      </c>
      <c r="J88" t="s">
        <v>332</v>
      </c>
      <c r="K88">
        <f ca="1">[1]!SHAPIRO(D85:D105)</f>
        <v>0.66082370284845438</v>
      </c>
      <c r="M88" t="s">
        <v>301</v>
      </c>
      <c r="N88" s="65">
        <f ca="1">AVERAGE(E85:E105)</f>
        <v>4.7142857142857144</v>
      </c>
      <c r="P88" t="s">
        <v>332</v>
      </c>
      <c r="Q88">
        <f ca="1">[1]!SHAPIRO(E85:E105)</f>
        <v>0.4641403648050707</v>
      </c>
      <c r="S88" t="s">
        <v>380</v>
      </c>
      <c r="T88">
        <f ca="1">COUNT(E85:E105)</f>
        <v>21</v>
      </c>
      <c r="U88" s="65">
        <f ca="1">AVERAGE(E85:E105)</f>
        <v>4.7142857142857144</v>
      </c>
      <c r="V88">
        <f ca="1">_xlfn.STDEV.S(E85:E105)</f>
        <v>0.7171371656006359</v>
      </c>
      <c r="AC88" t="s">
        <v>360</v>
      </c>
      <c r="AD88" s="117">
        <f ca="1">SUMPRODUCT(--ISNUMBER(D85:D105),--ISNUMBER(E85:E105))</f>
        <v>21</v>
      </c>
    </row>
    <row r="89" spans="2:31" x14ac:dyDescent="0.3">
      <c r="C89" s="2" t="s">
        <v>289</v>
      </c>
      <c r="D89" s="37" cm="1">
        <f t="array" aca="1" ref="D89" ca="1">INDIRECT("'" &amp; C89 &amp; "'!$E$160")</f>
        <v>5</v>
      </c>
      <c r="E89" s="37" cm="1">
        <f t="array" aca="1" ref="E89" ca="1">INDIRECT("'" &amp; C89 &amp; "'!$F$160")</f>
        <v>5</v>
      </c>
      <c r="G89" t="s">
        <v>302</v>
      </c>
      <c r="H89">
        <f ca="1">_xlfn.STDEV.S(D85:D105)/SQRT(COUNT(D85:D105))</f>
        <v>0.14754222271266368</v>
      </c>
      <c r="J89" t="s">
        <v>333</v>
      </c>
      <c r="K89">
        <f ca="1">[1]!SWTEST(D85:D105)</f>
        <v>9.2958629056560937E-6</v>
      </c>
      <c r="M89" t="s">
        <v>302</v>
      </c>
      <c r="N89">
        <f ca="1">_xlfn.STDEV.S(E85:E105)/SQRT(COUNT(E85:E105))</f>
        <v>0.15649215928719026</v>
      </c>
      <c r="P89" t="s">
        <v>333</v>
      </c>
      <c r="Q89">
        <f ca="1">[1]!SWTEST(E85:E105)</f>
        <v>9.6592525089533865E-8</v>
      </c>
      <c r="S89" s="130" t="s">
        <v>349</v>
      </c>
      <c r="T89" s="130">
        <f ca="1">T88</f>
        <v>21</v>
      </c>
      <c r="U89" s="131">
        <f ca="1">U87-U88</f>
        <v>-0.14285714285714324</v>
      </c>
      <c r="V89" s="130">
        <f t="array" aca="1" ref="V89" ca="1">_xlfn.STDEV.S(D85:D105-E85:E105)</f>
        <v>0.79282496717209183</v>
      </c>
      <c r="W89" s="130">
        <f ca="1">V89/SQRT(T89)</f>
        <v>0.17300859166271382</v>
      </c>
      <c r="X89" s="130">
        <f ca="1">(U87-U88-Z85)/W89</f>
        <v>-0.82572282384477258</v>
      </c>
      <c r="Y89" s="130">
        <f ca="1">T89-1</f>
        <v>20</v>
      </c>
      <c r="Z89" s="130">
        <f ca="1">ABS(U87-U88-Z85)/V89</f>
        <v>0.18018749253911229</v>
      </c>
      <c r="AA89" s="130">
        <f ca="1">SQRT(X89^2/(X89^2+Y89))</f>
        <v>0.18156825980064117</v>
      </c>
      <c r="AC89" t="s">
        <v>361</v>
      </c>
      <c r="AD89" s="74">
        <f ca="1">SUMPRODUCT(--ISNUMBER(D85:D105),--ISNUMBER(E85:E105),--(D85:D105&lt;&gt;E85:E105))</f>
        <v>4</v>
      </c>
    </row>
    <row r="90" spans="2:31" x14ac:dyDescent="0.3">
      <c r="C90" s="2" t="s">
        <v>290</v>
      </c>
      <c r="D90" s="37" cm="1">
        <f t="array" aca="1" ref="D90" ca="1">INDIRECT("'" &amp; C90 &amp; "'!$E$160")</f>
        <v>5</v>
      </c>
      <c r="E90" s="37" cm="1">
        <f t="array" aca="1" ref="E90" ca="1">INDIRECT("'" &amp; C90 &amp; "'!$F$160")</f>
        <v>5</v>
      </c>
      <c r="F90" s="65"/>
      <c r="G90" t="s">
        <v>303</v>
      </c>
      <c r="H90" s="65">
        <f ca="1">MEDIAN(D85:D105)</f>
        <v>5</v>
      </c>
      <c r="J90" t="s">
        <v>334</v>
      </c>
      <c r="K90">
        <v>0.05</v>
      </c>
      <c r="M90" t="s">
        <v>303</v>
      </c>
      <c r="N90" s="65">
        <f ca="1">MEDIAN(E85:E105)</f>
        <v>5</v>
      </c>
      <c r="P90" t="s">
        <v>334</v>
      </c>
      <c r="Q90">
        <v>0.05</v>
      </c>
      <c r="AC90" t="s">
        <v>362</v>
      </c>
      <c r="AD90" s="74">
        <f ca="1">IF(AD92&lt;=AD95,AD92,AD89*(AD89+1)/2)</f>
        <v>3</v>
      </c>
    </row>
    <row r="91" spans="2:31" ht="15" thickBot="1" x14ac:dyDescent="0.35">
      <c r="C91" s="2" t="s">
        <v>291</v>
      </c>
      <c r="D91" s="37" cm="1">
        <f t="array" aca="1" ref="D91" ca="1">INDIRECT("'" &amp; C91 &amp; "'!$E$160")</f>
        <v>5</v>
      </c>
      <c r="E91" s="37" cm="1">
        <f t="array" aca="1" ref="E91" ca="1">INDIRECT("'" &amp; C91 &amp; "'!$F$160")</f>
        <v>5</v>
      </c>
      <c r="G91" t="s">
        <v>304</v>
      </c>
      <c r="H91">
        <f ca="1">MODE(D85:D105)</f>
        <v>5</v>
      </c>
      <c r="J91" s="134" t="s">
        <v>335</v>
      </c>
      <c r="K91" s="136" t="str">
        <f ca="1">IF(K89&lt;K90,"no","yes")</f>
        <v>no</v>
      </c>
      <c r="M91" t="s">
        <v>304</v>
      </c>
      <c r="N91">
        <f ca="1">MODE(E85:E105)</f>
        <v>5</v>
      </c>
      <c r="P91" s="134" t="s">
        <v>335</v>
      </c>
      <c r="Q91" s="136" t="str">
        <f ca="1">IF(Q89&lt;Q90,"no","yes")</f>
        <v>no</v>
      </c>
      <c r="S91" t="s">
        <v>350</v>
      </c>
      <c r="AC91" t="s">
        <v>363</v>
      </c>
      <c r="AD91" s="74">
        <f ca="1">AD89*(AD89+1)/2-AD90</f>
        <v>7</v>
      </c>
    </row>
    <row r="92" spans="2:31" ht="15" thickTop="1" x14ac:dyDescent="0.3">
      <c r="C92" s="2" t="s">
        <v>292</v>
      </c>
      <c r="D92" s="37" cm="1">
        <f t="array" aca="1" ref="D92" ca="1">INDIRECT("'" &amp; C92 &amp; "'!$E$160")</f>
        <v>5</v>
      </c>
      <c r="E92" s="37" cm="1">
        <f t="array" aca="1" ref="E92" ca="1">INDIRECT("'" &amp; C92 &amp; "'!$F$160")</f>
        <v>5</v>
      </c>
      <c r="G92" t="s">
        <v>305</v>
      </c>
      <c r="H92">
        <f ca="1">_xlfn.STDEV.S(D85:D105)</f>
        <v>0.6761234037828141</v>
      </c>
      <c r="M92" t="s">
        <v>305</v>
      </c>
      <c r="N92">
        <f ca="1">_xlfn.STDEV.S(E85:E105)</f>
        <v>0.7171371656006359</v>
      </c>
      <c r="S92" s="101" t="s">
        <v>351</v>
      </c>
      <c r="T92" s="101" t="s">
        <v>333</v>
      </c>
      <c r="U92" s="101" t="s">
        <v>352</v>
      </c>
      <c r="V92" s="101" t="s">
        <v>353</v>
      </c>
      <c r="W92" s="101" t="s">
        <v>354</v>
      </c>
      <c r="X92" s="101" t="s">
        <v>355</v>
      </c>
      <c r="AC92" t="s">
        <v>364</v>
      </c>
      <c r="AD92" s="132">
        <f ca="1">[1]!SRANK(D85:D105,E85:E105)</f>
        <v>3</v>
      </c>
    </row>
    <row r="93" spans="2:31" x14ac:dyDescent="0.3">
      <c r="C93" s="2" t="s">
        <v>293</v>
      </c>
      <c r="D93" s="37" cm="1">
        <f t="array" aca="1" ref="D93" ca="1">INDIRECT("'" &amp; C93 &amp; "'!$E$160")</f>
        <v>5</v>
      </c>
      <c r="E93" s="37" cm="1">
        <f t="array" aca="1" ref="E93" ca="1">INDIRECT("'" &amp; C93 &amp; "'!$F$160")</f>
        <v>5</v>
      </c>
      <c r="G93" t="s">
        <v>306</v>
      </c>
      <c r="H93">
        <f ca="1">_xlfn.VAR.S(D85:D105)</f>
        <v>0.45714285714285835</v>
      </c>
      <c r="J93" t="s">
        <v>336</v>
      </c>
      <c r="M93" t="s">
        <v>306</v>
      </c>
      <c r="N93">
        <f ca="1">_xlfn.VAR.S(E85:E105)</f>
        <v>0.5142857142857139</v>
      </c>
      <c r="P93" t="s">
        <v>336</v>
      </c>
      <c r="S93" t="s">
        <v>356</v>
      </c>
      <c r="T93">
        <f ca="1">_xlfn.T.DIST.RT(ABS(X89),Y89)</f>
        <v>0.20935130902058724</v>
      </c>
      <c r="U93">
        <f ca="1">_xlfn.T.INV.2T(W85*2,Y89)</f>
        <v>1.7247182429207868</v>
      </c>
      <c r="X93" s="70" t="str">
        <f ca="1">IF(T93&lt;W85,"yes","no")</f>
        <v>no</v>
      </c>
    </row>
    <row r="94" spans="2:31" x14ac:dyDescent="0.3">
      <c r="C94" s="2" t="s">
        <v>294</v>
      </c>
      <c r="D94" s="37" cm="1">
        <f t="array" aca="1" ref="D94" ca="1">INDIRECT("'" &amp; C94 &amp; "'!$E$160")</f>
        <v>5</v>
      </c>
      <c r="E94" s="37" cm="1">
        <f t="array" aca="1" ref="E94" ca="1">INDIRECT("'" &amp; C94 &amp; "'!$F$160")</f>
        <v>5</v>
      </c>
      <c r="G94" t="s">
        <v>307</v>
      </c>
      <c r="H94">
        <f ca="1">KURT(D85:D105)</f>
        <v>0.75794956140350367</v>
      </c>
      <c r="M94" t="s">
        <v>307</v>
      </c>
      <c r="N94">
        <f ca="1">KURT(E85:E105)</f>
        <v>10.580734243014973</v>
      </c>
      <c r="S94" t="s">
        <v>357</v>
      </c>
      <c r="T94">
        <f ca="1">_xlfn.T.DIST.2T(ABS(X89),Y89)</f>
        <v>0.41870261804117448</v>
      </c>
      <c r="U94">
        <f ca="1">_xlfn.T.INV.2T(W85,Y89)</f>
        <v>2.0859634472658648</v>
      </c>
      <c r="V94">
        <f ca="1">(U87-U88)-W89*U94</f>
        <v>-0.50374674112851014</v>
      </c>
      <c r="W94">
        <f ca="1">(U87-U88)+W89*U94</f>
        <v>0.21803245541422361</v>
      </c>
      <c r="X94" s="70" t="str">
        <f ca="1">IF(T94&lt;W85,"yes","no")</f>
        <v>no</v>
      </c>
      <c r="AD94" s="70" t="s">
        <v>365</v>
      </c>
      <c r="AE94" s="70" t="s">
        <v>366</v>
      </c>
    </row>
    <row r="95" spans="2:31" x14ac:dyDescent="0.3">
      <c r="C95" s="2" t="s">
        <v>295</v>
      </c>
      <c r="D95" s="37" cm="1">
        <f t="array" aca="1" ref="D95" ca="1">INDIRECT("'" &amp; C95 &amp; "'!$E$160")</f>
        <v>5</v>
      </c>
      <c r="E95" s="37" cm="1">
        <f t="array" aca="1" ref="E95" ca="1">INDIRECT("'" &amp; C95 &amp; "'!$F$160")</f>
        <v>5</v>
      </c>
      <c r="G95" t="s">
        <v>308</v>
      </c>
      <c r="H95">
        <f ca="1">SKEW(D85:D105)</f>
        <v>-1.3573900160236767</v>
      </c>
      <c r="J95" s="130" t="s">
        <v>337</v>
      </c>
      <c r="K95" s="130">
        <f ca="1">[1]!DAGOSTINO(D85:D105)</f>
        <v>7.3430713740289386</v>
      </c>
      <c r="M95" t="s">
        <v>308</v>
      </c>
      <c r="N95">
        <f ca="1">SKEW(E85:E105)</f>
        <v>-3.1007794843039251</v>
      </c>
      <c r="P95" s="130" t="s">
        <v>337</v>
      </c>
      <c r="Q95" s="130">
        <f ca="1">[1]!DAGOSTINO(E85:E105)</f>
        <v>35.362716468374607</v>
      </c>
      <c r="S95" s="130"/>
      <c r="T95" s="130"/>
      <c r="U95" s="130"/>
      <c r="V95" s="130"/>
      <c r="W95" s="130"/>
      <c r="X95" s="130"/>
      <c r="AC95" t="s">
        <v>367</v>
      </c>
      <c r="AD95" s="117">
        <f ca="1">AD89*(AD89+1)/4</f>
        <v>5</v>
      </c>
    </row>
    <row r="96" spans="2:31" x14ac:dyDescent="0.3">
      <c r="C96" s="2" t="s">
        <v>296</v>
      </c>
      <c r="D96" s="37" cm="1">
        <f t="array" aca="1" ref="D96" ca="1">INDIRECT("'" &amp; C96 &amp; "'!$E$160")</f>
        <v>4</v>
      </c>
      <c r="E96" s="37" cm="1">
        <f t="array" aca="1" ref="E96" ca="1">INDIRECT("'" &amp; C96 &amp; "'!$F$160")</f>
        <v>4</v>
      </c>
      <c r="G96" t="s">
        <v>309</v>
      </c>
      <c r="H96">
        <f ca="1">H97-H98</f>
        <v>2</v>
      </c>
      <c r="J96" t="s">
        <v>333</v>
      </c>
      <c r="K96">
        <f ca="1">[1]!DPTEST(D85:D105)</f>
        <v>2.5437376088257801E-2</v>
      </c>
      <c r="M96" t="s">
        <v>309</v>
      </c>
      <c r="N96">
        <f ca="1">N97-N98</f>
        <v>3</v>
      </c>
      <c r="P96" t="s">
        <v>333</v>
      </c>
      <c r="Q96">
        <f ca="1">[1]!DPTEST(E85:E105)</f>
        <v>2.0945160161822685E-8</v>
      </c>
      <c r="AC96" t="s">
        <v>368</v>
      </c>
      <c r="AD96" s="74">
        <f ca="1">SQRT(AD95*(2*AD89+1)/6-[1]!TiesCorrection(D85:D105,E85:E105,1)/48)</f>
        <v>2.6457513110645907</v>
      </c>
      <c r="AE96" t="s">
        <v>369</v>
      </c>
    </row>
    <row r="97" spans="3:31" x14ac:dyDescent="0.3">
      <c r="C97" s="2" t="s">
        <v>297</v>
      </c>
      <c r="D97" s="37" cm="1">
        <f t="array" aca="1" ref="D97" ca="1">INDIRECT("'" &amp; C97 &amp; "'!$E$160")</f>
        <v>5</v>
      </c>
      <c r="E97" s="37" cm="1">
        <f t="array" aca="1" ref="E97" ca="1">INDIRECT("'" &amp; C97 &amp; "'!$F$160")</f>
        <v>5</v>
      </c>
      <c r="F97" s="65"/>
      <c r="G97" t="s">
        <v>310</v>
      </c>
      <c r="H97" s="65">
        <f ca="1">MAX(D85:D105)</f>
        <v>5</v>
      </c>
      <c r="J97" t="s">
        <v>334</v>
      </c>
      <c r="K97">
        <v>0.05</v>
      </c>
      <c r="M97" t="s">
        <v>310</v>
      </c>
      <c r="N97" s="65">
        <f ca="1">MAX(E85:E105)</f>
        <v>5</v>
      </c>
      <c r="P97" t="s">
        <v>334</v>
      </c>
      <c r="Q97">
        <v>0.05</v>
      </c>
      <c r="AC97" t="s">
        <v>370</v>
      </c>
      <c r="AD97" s="74">
        <f ca="1">ABS(ABS(AD92-AD95)-1/2)/AD96</f>
        <v>0.56694670951384085</v>
      </c>
      <c r="AE97" t="s">
        <v>371</v>
      </c>
    </row>
    <row r="98" spans="3:31" x14ac:dyDescent="0.3">
      <c r="C98" s="2" t="s">
        <v>298</v>
      </c>
      <c r="D98" s="37" cm="1">
        <f t="array" aca="1" ref="D98" ca="1">INDIRECT("'" &amp; C98 &amp; "'!$E$160")</f>
        <v>5</v>
      </c>
      <c r="E98" s="37" cm="1">
        <f t="array" aca="1" ref="E98" ca="1">INDIRECT("'" &amp; C98 &amp; "'!$F$160")</f>
        <v>5</v>
      </c>
      <c r="F98" s="65"/>
      <c r="G98" t="s">
        <v>311</v>
      </c>
      <c r="H98" s="65">
        <f ca="1">MIN(D85:D105)</f>
        <v>3</v>
      </c>
      <c r="J98" s="134" t="s">
        <v>335</v>
      </c>
      <c r="K98" s="136" t="str">
        <f ca="1">IF(K96&lt;K97,"no","yes")</f>
        <v>no</v>
      </c>
      <c r="M98" t="s">
        <v>311</v>
      </c>
      <c r="N98" s="65">
        <f ca="1">MIN(E85:E105)</f>
        <v>2</v>
      </c>
      <c r="P98" s="134" t="s">
        <v>335</v>
      </c>
      <c r="Q98" s="136" t="str">
        <f ca="1">IF(Q96&lt;Q97,"no","yes")</f>
        <v>no</v>
      </c>
      <c r="AC98" t="s">
        <v>372</v>
      </c>
      <c r="AD98" s="74">
        <f ca="1">AD97/SQRT(AD89)</f>
        <v>0.28347335475692043</v>
      </c>
    </row>
    <row r="99" spans="3:31" x14ac:dyDescent="0.3">
      <c r="C99" s="2" t="s">
        <v>299</v>
      </c>
      <c r="D99" s="37" cm="1">
        <f t="array" aca="1" ref="D99" ca="1">INDIRECT("'" &amp; C99 &amp; "'!$E$160")</f>
        <v>5</v>
      </c>
      <c r="E99" s="37" cm="1">
        <f t="array" aca="1" ref="E99" ca="1">INDIRECT("'" &amp; C99 &amp; "'!$F$160")</f>
        <v>5</v>
      </c>
      <c r="F99" s="65"/>
      <c r="G99" t="s">
        <v>312</v>
      </c>
      <c r="H99" s="65">
        <f ca="1">SUM(D85:D105)</f>
        <v>96</v>
      </c>
      <c r="M99" t="s">
        <v>312</v>
      </c>
      <c r="N99" s="65">
        <f ca="1">SUM(E85:E105)</f>
        <v>99</v>
      </c>
      <c r="AC99" t="s">
        <v>373</v>
      </c>
      <c r="AD99" s="117">
        <f ca="1">1-_xlfn.NORM.S.DIST(AD97,TRUE)</f>
        <v>0.28537519402908695</v>
      </c>
      <c r="AE99" s="118">
        <f ca="1">2*AD99</f>
        <v>0.57075038805817391</v>
      </c>
    </row>
    <row r="100" spans="3:31" x14ac:dyDescent="0.3">
      <c r="C100" s="2" t="s">
        <v>395</v>
      </c>
      <c r="D100" s="37" cm="1">
        <f t="array" aca="1" ref="D100" ca="1">INDIRECT("'" &amp; C100 &amp; "'!$E$160")</f>
        <v>3</v>
      </c>
      <c r="E100" s="37" cm="1">
        <f t="array" aca="1" ref="E100" ca="1">INDIRECT("'" &amp; C100 &amp; "'!$F$160")</f>
        <v>5</v>
      </c>
      <c r="G100" t="s">
        <v>313</v>
      </c>
      <c r="H100">
        <f ca="1">COUNT(D85:D105)</f>
        <v>21</v>
      </c>
      <c r="M100" t="s">
        <v>313</v>
      </c>
      <c r="N100">
        <f ca="1">COUNT(E85:E105)</f>
        <v>21</v>
      </c>
      <c r="AC100" t="s">
        <v>374</v>
      </c>
      <c r="AD100" s="74">
        <f ca="1">[1]!SRDIST(AD92,AD89,1)</f>
        <v>0.3125</v>
      </c>
      <c r="AE100" s="77">
        <f ca="1">2*AD100</f>
        <v>0.625</v>
      </c>
    </row>
    <row r="101" spans="3:31" x14ac:dyDescent="0.3">
      <c r="C101" s="2" t="s">
        <v>396</v>
      </c>
      <c r="D101" s="37" cm="1">
        <f t="array" aca="1" ref="D101" ca="1">INDIRECT("'" &amp; C101 &amp; "'!$E$160")</f>
        <v>5</v>
      </c>
      <c r="E101" s="37" cm="1">
        <f t="array" aca="1" ref="E101" ca="1">INDIRECT("'" &amp; C101 &amp; "'!$F$160")</f>
        <v>5</v>
      </c>
      <c r="G101" t="s">
        <v>314</v>
      </c>
      <c r="H101">
        <f ca="1">GEOMEAN(D85:D105)</f>
        <v>4.5161435648418253</v>
      </c>
      <c r="M101" t="s">
        <v>314</v>
      </c>
      <c r="N101">
        <f ca="1">GEOMEAN(E85:E105)</f>
        <v>4.6363497751703626</v>
      </c>
      <c r="AC101" t="s">
        <v>375</v>
      </c>
      <c r="AD101" s="132" t="s">
        <v>376</v>
      </c>
      <c r="AE101" s="133" t="s">
        <v>376</v>
      </c>
    </row>
    <row r="102" spans="3:31" x14ac:dyDescent="0.3">
      <c r="C102" s="2" t="s">
        <v>397</v>
      </c>
      <c r="D102" s="37" cm="1">
        <f t="array" aca="1" ref="D102" ca="1">INDIRECT("'" &amp; C102 &amp; "'!$E$160")</f>
        <v>5</v>
      </c>
      <c r="E102" s="37" cm="1">
        <f t="array" aca="1" ref="E102" ca="1">INDIRECT("'" &amp; C102 &amp; "'!$F$160")</f>
        <v>5</v>
      </c>
      <c r="G102" t="s">
        <v>315</v>
      </c>
      <c r="H102">
        <f ca="1">HARMEAN(D85:D105)</f>
        <v>4.4522968197879855</v>
      </c>
      <c r="M102" t="s">
        <v>315</v>
      </c>
      <c r="N102">
        <f ca="1">HARMEAN(E85:E105)</f>
        <v>4.5161290322580632</v>
      </c>
    </row>
    <row r="103" spans="3:31" x14ac:dyDescent="0.3">
      <c r="C103" s="2" t="s">
        <v>398</v>
      </c>
      <c r="D103" s="37" cm="1">
        <f t="array" aca="1" ref="D103" ca="1">INDIRECT("'" &amp; C103 &amp; "'!$E$160")</f>
        <v>4</v>
      </c>
      <c r="E103" s="37" cm="1">
        <f t="array" aca="1" ref="E103" ca="1">INDIRECT("'" &amp; C103 &amp; "'!$F$160")</f>
        <v>4</v>
      </c>
      <c r="G103" t="s">
        <v>316</v>
      </c>
      <c r="H103">
        <f ca="1">AVEDEV(D85:D105)</f>
        <v>0.57142857142857151</v>
      </c>
      <c r="M103" t="s">
        <v>316</v>
      </c>
      <c r="N103">
        <f ca="1">AVEDEV(E85:E105)</f>
        <v>0.46258503401360535</v>
      </c>
    </row>
    <row r="104" spans="3:31" x14ac:dyDescent="0.3">
      <c r="C104" s="2" t="s">
        <v>399</v>
      </c>
      <c r="D104" s="37" cm="1">
        <f t="array" aca="1" ref="D104" ca="1">INDIRECT("'" &amp; C104 &amp; "'!$E$160")</f>
        <v>5</v>
      </c>
      <c r="E104" s="37" cm="1">
        <f t="array" aca="1" ref="E104" ca="1">INDIRECT("'" &amp; C104 &amp; "'!$F$160")</f>
        <v>5</v>
      </c>
      <c r="G104" t="s">
        <v>317</v>
      </c>
      <c r="H104">
        <f ca="1">[1]!MAD(D85:D105)</f>
        <v>0</v>
      </c>
      <c r="M104" t="s">
        <v>317</v>
      </c>
      <c r="N104">
        <f ca="1">[1]!MAD(E85:E105)</f>
        <v>0</v>
      </c>
    </row>
    <row r="105" spans="3:31" x14ac:dyDescent="0.3">
      <c r="C105" s="2" t="s">
        <v>400</v>
      </c>
      <c r="D105" s="37" cm="1">
        <f t="array" aca="1" ref="D105" ca="1">INDIRECT("'" &amp; C105 &amp; "'!$E$160")</f>
        <v>5</v>
      </c>
      <c r="E105" s="37" cm="1">
        <f t="array" aca="1" ref="E105" ca="1">INDIRECT("'" &amp; C105 &amp; "'!$F$160")</f>
        <v>5</v>
      </c>
      <c r="G105" s="134" t="s">
        <v>318</v>
      </c>
      <c r="H105" s="134">
        <f ca="1">[1]!IQR(D85:D105,FALSE)</f>
        <v>1</v>
      </c>
      <c r="M105" s="134" t="s">
        <v>318</v>
      </c>
      <c r="N105" s="134">
        <f ca="1">[1]!IQR(E85:E105,FALSE)</f>
        <v>0</v>
      </c>
    </row>
    <row r="106" spans="3:31" x14ac:dyDescent="0.3">
      <c r="D106" s="37"/>
      <c r="E106" s="37"/>
    </row>
    <row r="110" spans="3:31" x14ac:dyDescent="0.3">
      <c r="C110" s="2"/>
      <c r="D110" s="59" t="s">
        <v>192</v>
      </c>
      <c r="E110" s="2"/>
    </row>
    <row r="111" spans="3:31" x14ac:dyDescent="0.3">
      <c r="C111" s="2"/>
      <c r="D111" s="2"/>
      <c r="E111" s="2"/>
    </row>
    <row r="112" spans="3:31" x14ac:dyDescent="0.3">
      <c r="C112" s="2" t="s">
        <v>285</v>
      </c>
      <c r="D112" s="37" cm="1">
        <f t="array" aca="1" ref="D112" ca="1">INDIRECT("'" &amp; C112 &amp; "'!$E$161")</f>
        <v>1</v>
      </c>
      <c r="E112" s="37" cm="1">
        <f t="array" aca="1" ref="E112" ca="1">INDIRECT("'" &amp; C112 &amp; "'!$F$161")</f>
        <v>1</v>
      </c>
      <c r="G112" t="s">
        <v>300</v>
      </c>
      <c r="J112" t="s">
        <v>331</v>
      </c>
      <c r="M112" t="s">
        <v>300</v>
      </c>
      <c r="P112" t="s">
        <v>331</v>
      </c>
      <c r="S112" t="s">
        <v>338</v>
      </c>
      <c r="AC112" t="s">
        <v>358</v>
      </c>
    </row>
    <row r="113" spans="3:31" x14ac:dyDescent="0.3">
      <c r="C113" s="2" t="s">
        <v>286</v>
      </c>
      <c r="D113" s="37" cm="1">
        <f t="array" aca="1" ref="D113" ca="1">INDIRECT("'" &amp; C113 &amp; "'!$E$161")</f>
        <v>2</v>
      </c>
      <c r="E113" s="37" cm="1">
        <f t="array" aca="1" ref="E113" ca="1">INDIRECT("'" &amp; C113 &amp; "'!$F$161")</f>
        <v>1</v>
      </c>
    </row>
    <row r="114" spans="3:31" ht="15" thickBot="1" x14ac:dyDescent="0.35">
      <c r="C114" s="2" t="s">
        <v>287</v>
      </c>
      <c r="D114" s="37" cm="1">
        <f t="array" aca="1" ref="D114" ca="1">INDIRECT("'" &amp; C114 &amp; "'!$E$161")</f>
        <v>4</v>
      </c>
      <c r="E114" s="37" cm="1">
        <f t="array" aca="1" ref="E114" ca="1">INDIRECT("'" &amp; C114 &amp; "'!$F$161")</f>
        <v>1</v>
      </c>
      <c r="G114" s="135"/>
      <c r="H114" s="135" t="s">
        <v>379</v>
      </c>
      <c r="J114" s="135"/>
      <c r="K114" s="135" t="s">
        <v>379</v>
      </c>
      <c r="M114" s="135"/>
      <c r="N114" s="135" t="s">
        <v>379</v>
      </c>
      <c r="P114" s="135"/>
      <c r="Q114" s="135" t="s">
        <v>379</v>
      </c>
      <c r="S114" t="s">
        <v>339</v>
      </c>
      <c r="V114" t="s">
        <v>340</v>
      </c>
      <c r="W114">
        <v>0.05</v>
      </c>
      <c r="Y114" t="s">
        <v>341</v>
      </c>
      <c r="Z114">
        <v>0</v>
      </c>
      <c r="AD114" t="s">
        <v>381</v>
      </c>
      <c r="AE114" t="s">
        <v>382</v>
      </c>
    </row>
    <row r="115" spans="3:31" ht="15" thickTop="1" x14ac:dyDescent="0.3">
      <c r="C115" s="2" t="s">
        <v>288</v>
      </c>
      <c r="D115" s="37" cm="1">
        <f t="array" aca="1" ref="D115" ca="1">INDIRECT("'" &amp; C115 &amp; "'!$E$161")</f>
        <v>4</v>
      </c>
      <c r="E115" s="37" cm="1">
        <f t="array" aca="1" ref="E115" ca="1">INDIRECT("'" &amp; C115 &amp; "'!$F$161")</f>
        <v>1</v>
      </c>
      <c r="G115" t="s">
        <v>301</v>
      </c>
      <c r="H115" s="65">
        <f ca="1">AVERAGE(D112:D132)</f>
        <v>2.2380952380952381</v>
      </c>
      <c r="J115" t="s">
        <v>332</v>
      </c>
      <c r="K115">
        <f ca="1">[1]!SHAPIRO(D112:D132)</f>
        <v>0.85978525167818654</v>
      </c>
      <c r="M115" t="s">
        <v>301</v>
      </c>
      <c r="N115" s="65">
        <f ca="1">AVERAGE(E112:E132)</f>
        <v>1.3333333333333333</v>
      </c>
      <c r="P115" t="s">
        <v>332</v>
      </c>
      <c r="Q115">
        <f ca="1">[1]!SHAPIRO(E112:E132)</f>
        <v>0.42178065516963098</v>
      </c>
      <c r="S115" s="101" t="s">
        <v>342</v>
      </c>
      <c r="T115" s="101" t="s">
        <v>313</v>
      </c>
      <c r="U115" s="101" t="s">
        <v>301</v>
      </c>
      <c r="V115" s="101" t="s">
        <v>343</v>
      </c>
      <c r="W115" s="101" t="s">
        <v>344</v>
      </c>
      <c r="X115" s="101" t="s">
        <v>345</v>
      </c>
      <c r="Y115" s="101" t="s">
        <v>346</v>
      </c>
      <c r="Z115" s="101" t="s">
        <v>347</v>
      </c>
      <c r="AA115" s="101" t="s">
        <v>348</v>
      </c>
      <c r="AC115" t="s">
        <v>359</v>
      </c>
      <c r="AD115" s="115">
        <f ca="1">MEDIAN(D112:D132)</f>
        <v>2</v>
      </c>
      <c r="AE115" s="116">
        <f ca="1">MEDIAN(E112:E132)</f>
        <v>1</v>
      </c>
    </row>
    <row r="116" spans="3:31" x14ac:dyDescent="0.3">
      <c r="C116" s="2" t="s">
        <v>289</v>
      </c>
      <c r="D116" s="37" cm="1">
        <f t="array" aca="1" ref="D116" ca="1">INDIRECT("'" &amp; C116 &amp; "'!$E$161")</f>
        <v>3</v>
      </c>
      <c r="E116" s="37" cm="1">
        <f t="array" aca="1" ref="E116" ca="1">INDIRECT("'" &amp; C116 &amp; "'!$F$161")</f>
        <v>2</v>
      </c>
      <c r="G116" t="s">
        <v>302</v>
      </c>
      <c r="H116">
        <f ca="1">_xlfn.STDEV.S(D112:D132)/SQRT(COUNT(D112:D132))</f>
        <v>0.26641144248951171</v>
      </c>
      <c r="J116" t="s">
        <v>333</v>
      </c>
      <c r="K116">
        <f ca="1">[1]!SWTEST(D112:D132)</f>
        <v>6.291870257447596E-3</v>
      </c>
      <c r="M116" t="s">
        <v>302</v>
      </c>
      <c r="N116">
        <f ca="1">_xlfn.STDEV.S(E112:E132)/SQRT(COUNT(E112:E132))</f>
        <v>0.19920476822239894</v>
      </c>
      <c r="P116" t="s">
        <v>333</v>
      </c>
      <c r="Q116">
        <f ca="1">[1]!SWTEST(E112:E132)</f>
        <v>4.1705788045298675E-8</v>
      </c>
      <c r="S116" t="s">
        <v>379</v>
      </c>
      <c r="T116">
        <f ca="1">COUNT(D112:D132)</f>
        <v>21</v>
      </c>
      <c r="U116" s="65">
        <f ca="1">AVERAGE(D112:D132)</f>
        <v>2.2380952380952381</v>
      </c>
      <c r="V116">
        <f ca="1">_xlfn.STDEV.S(D112:D132)</f>
        <v>1.220850601210562</v>
      </c>
    </row>
    <row r="117" spans="3:31" x14ac:dyDescent="0.3">
      <c r="C117" s="2" t="s">
        <v>290</v>
      </c>
      <c r="D117" s="37" cm="1">
        <f t="array" aca="1" ref="D117" ca="1">INDIRECT("'" &amp; C117 &amp; "'!$E$161")</f>
        <v>1</v>
      </c>
      <c r="E117" s="37" cm="1">
        <f t="array" aca="1" ref="E117" ca="1">INDIRECT("'" &amp; C117 &amp; "'!$F$161")</f>
        <v>2</v>
      </c>
      <c r="G117" t="s">
        <v>303</v>
      </c>
      <c r="H117" s="65">
        <f ca="1">MEDIAN(D112:D132)</f>
        <v>2</v>
      </c>
      <c r="J117" t="s">
        <v>334</v>
      </c>
      <c r="K117">
        <v>0.05</v>
      </c>
      <c r="M117" t="s">
        <v>303</v>
      </c>
      <c r="N117" s="65">
        <f ca="1">MEDIAN(E112:E132)</f>
        <v>1</v>
      </c>
      <c r="P117" t="s">
        <v>334</v>
      </c>
      <c r="Q117">
        <v>0.05</v>
      </c>
      <c r="S117" t="s">
        <v>380</v>
      </c>
      <c r="T117">
        <f ca="1">COUNT(E112:E132)</f>
        <v>21</v>
      </c>
      <c r="U117" s="65">
        <f ca="1">AVERAGE(E112:E132)</f>
        <v>1.3333333333333333</v>
      </c>
      <c r="V117">
        <f ca="1">_xlfn.STDEV.S(E112:E132)</f>
        <v>0.91287092917527679</v>
      </c>
      <c r="AC117" t="s">
        <v>360</v>
      </c>
      <c r="AD117" s="117">
        <f ca="1">SUMPRODUCT(--ISNUMBER(D112:D132),--ISNUMBER(E112:E132))</f>
        <v>21</v>
      </c>
    </row>
    <row r="118" spans="3:31" x14ac:dyDescent="0.3">
      <c r="C118" s="2" t="s">
        <v>291</v>
      </c>
      <c r="D118" s="37" cm="1">
        <f t="array" aca="1" ref="D118" ca="1">INDIRECT("'" &amp; C118 &amp; "'!$E$161")</f>
        <v>4</v>
      </c>
      <c r="E118" s="37" cm="1">
        <f t="array" aca="1" ref="E118" ca="1">INDIRECT("'" &amp; C118 &amp; "'!$F$161")</f>
        <v>1</v>
      </c>
      <c r="G118" t="s">
        <v>304</v>
      </c>
      <c r="H118">
        <f ca="1">MODE(D112:D132)</f>
        <v>1</v>
      </c>
      <c r="J118" s="134" t="s">
        <v>335</v>
      </c>
      <c r="K118" s="136" t="str">
        <f ca="1">IF(K116&lt;K117,"no","yes")</f>
        <v>no</v>
      </c>
      <c r="M118" t="s">
        <v>304</v>
      </c>
      <c r="N118">
        <f ca="1">MODE(E112:E132)</f>
        <v>1</v>
      </c>
      <c r="P118" s="134" t="s">
        <v>335</v>
      </c>
      <c r="Q118" s="136" t="str">
        <f ca="1">IF(Q116&lt;Q117,"no","yes")</f>
        <v>no</v>
      </c>
      <c r="S118" s="130" t="s">
        <v>349</v>
      </c>
      <c r="T118" s="130">
        <f ca="1">T117</f>
        <v>21</v>
      </c>
      <c r="U118" s="131">
        <f ca="1">U116-U117</f>
        <v>0.90476190476190488</v>
      </c>
      <c r="V118" s="130">
        <f t="array" aca="1" ref="V118" ca="1">_xlfn.STDEV.S(D112:D132-E112:E132)</f>
        <v>1.0910894511799618</v>
      </c>
      <c r="W118" s="130">
        <f ca="1">V118/SQRT(T118)</f>
        <v>0.23809523809523808</v>
      </c>
      <c r="X118" s="130">
        <f ca="1">(U116-U117-Z114)/W118</f>
        <v>3.8000000000000007</v>
      </c>
      <c r="Y118" s="130">
        <f ca="1">T118-1</f>
        <v>20</v>
      </c>
      <c r="Z118" s="130">
        <f ca="1">ABS(U116-U117-Z114)/V118</f>
        <v>0.82922798289677124</v>
      </c>
      <c r="AA118" s="130">
        <f ca="1">SQRT(X118^2/(X118^2+Y118))</f>
        <v>0.64751826776144716</v>
      </c>
      <c r="AC118" t="s">
        <v>361</v>
      </c>
      <c r="AD118" s="74">
        <f ca="1">SUMPRODUCT(--ISNUMBER(D112:D132),--ISNUMBER(E112:E132),--(D112:D132&lt;&gt;E112:E132))</f>
        <v>14</v>
      </c>
    </row>
    <row r="119" spans="3:31" x14ac:dyDescent="0.3">
      <c r="C119" s="2" t="s">
        <v>292</v>
      </c>
      <c r="D119" s="37" cm="1">
        <f t="array" aca="1" ref="D119" ca="1">INDIRECT("'" &amp; C119 &amp; "'!$E$161")</f>
        <v>2</v>
      </c>
      <c r="E119" s="37" cm="1">
        <f t="array" aca="1" ref="E119" ca="1">INDIRECT("'" &amp; C119 &amp; "'!$F$161")</f>
        <v>1</v>
      </c>
      <c r="G119" t="s">
        <v>305</v>
      </c>
      <c r="H119">
        <f ca="1">_xlfn.STDEV.S(D112:D132)</f>
        <v>1.220850601210562</v>
      </c>
      <c r="M119" t="s">
        <v>305</v>
      </c>
      <c r="N119">
        <f ca="1">_xlfn.STDEV.S(E112:E132)</f>
        <v>0.91287092917527679</v>
      </c>
      <c r="AC119" t="s">
        <v>362</v>
      </c>
      <c r="AD119" s="74">
        <f ca="1">IF(AD121&lt;=AD124,AD121,AD118*(AD118+1)/2)</f>
        <v>5.5</v>
      </c>
    </row>
    <row r="120" spans="3:31" ht="15" thickBot="1" x14ac:dyDescent="0.35">
      <c r="C120" s="2" t="s">
        <v>293</v>
      </c>
      <c r="D120" s="37" cm="1">
        <f t="array" aca="1" ref="D120" ca="1">INDIRECT("'" &amp; C120 &amp; "'!$E$161")</f>
        <v>1</v>
      </c>
      <c r="E120" s="37" cm="1">
        <f t="array" aca="1" ref="E120" ca="1">INDIRECT("'" &amp; C120 &amp; "'!$F$161")</f>
        <v>1</v>
      </c>
      <c r="G120" t="s">
        <v>306</v>
      </c>
      <c r="H120">
        <f ca="1">_xlfn.VAR.S(D112:D132)</f>
        <v>1.4904761904761905</v>
      </c>
      <c r="J120" t="s">
        <v>336</v>
      </c>
      <c r="M120" t="s">
        <v>306</v>
      </c>
      <c r="N120">
        <f ca="1">_xlfn.VAR.S(E112:E132)</f>
        <v>0.83333333333333326</v>
      </c>
      <c r="P120" t="s">
        <v>336</v>
      </c>
      <c r="S120" t="s">
        <v>350</v>
      </c>
      <c r="AC120" t="s">
        <v>363</v>
      </c>
      <c r="AD120" s="74">
        <f ca="1">AD118*(AD118+1)/2-AD119</f>
        <v>99.5</v>
      </c>
    </row>
    <row r="121" spans="3:31" ht="15" thickTop="1" x14ac:dyDescent="0.3">
      <c r="C121" s="2" t="s">
        <v>294</v>
      </c>
      <c r="D121" s="37" cm="1">
        <f t="array" aca="1" ref="D121" ca="1">INDIRECT("'" &amp; C121 &amp; "'!$E$161")</f>
        <v>2</v>
      </c>
      <c r="E121" s="37" cm="1">
        <f t="array" aca="1" ref="E121" ca="1">INDIRECT("'" &amp; C121 &amp; "'!$F$161")</f>
        <v>1</v>
      </c>
      <c r="G121" t="s">
        <v>307</v>
      </c>
      <c r="H121">
        <f ca="1">KURT(D112:D132)</f>
        <v>-0.32908906200726351</v>
      </c>
      <c r="M121" t="s">
        <v>307</v>
      </c>
      <c r="N121">
        <f ca="1">KURT(E112:E132)</f>
        <v>14.149894736842107</v>
      </c>
      <c r="S121" s="101" t="s">
        <v>351</v>
      </c>
      <c r="T121" s="101" t="s">
        <v>333</v>
      </c>
      <c r="U121" s="101" t="s">
        <v>352</v>
      </c>
      <c r="V121" s="101" t="s">
        <v>353</v>
      </c>
      <c r="W121" s="101" t="s">
        <v>354</v>
      </c>
      <c r="X121" s="101" t="s">
        <v>355</v>
      </c>
      <c r="AC121" t="s">
        <v>364</v>
      </c>
      <c r="AD121" s="132">
        <f ca="1">[1]!SRANK(D112:D132,E112:E132)</f>
        <v>5.5</v>
      </c>
    </row>
    <row r="122" spans="3:31" x14ac:dyDescent="0.3">
      <c r="C122" s="2" t="s">
        <v>295</v>
      </c>
      <c r="D122" s="37" cm="1">
        <f t="array" aca="1" ref="D122" ca="1">INDIRECT("'" &amp; C122 &amp; "'!$E$161")</f>
        <v>1</v>
      </c>
      <c r="E122" s="37" cm="1">
        <f t="array" aca="1" ref="E122" ca="1">INDIRECT("'" &amp; C122 &amp; "'!$F$161")</f>
        <v>1</v>
      </c>
      <c r="G122" t="s">
        <v>308</v>
      </c>
      <c r="H122">
        <f ca="1">SKEW(D112:D132)</f>
        <v>0.7721339235564556</v>
      </c>
      <c r="J122" s="130" t="s">
        <v>337</v>
      </c>
      <c r="K122" s="130">
        <f ca="1">[1]!DAGOSTINO(D112:D132)</f>
        <v>2.4645962294499122</v>
      </c>
      <c r="M122" t="s">
        <v>308</v>
      </c>
      <c r="N122">
        <f ca="1">SKEW(E112:E132)</f>
        <v>3.5999785779602709</v>
      </c>
      <c r="P122" s="130" t="s">
        <v>337</v>
      </c>
      <c r="Q122" s="130">
        <f ca="1">[1]!DAGOSTINO(E112:E132)</f>
        <v>42.289648853964451</v>
      </c>
      <c r="S122" t="s">
        <v>356</v>
      </c>
      <c r="T122">
        <f ca="1">_xlfn.T.DIST.RT(ABS(X118),Y118)</f>
        <v>5.6126200766204155E-4</v>
      </c>
      <c r="U122">
        <f ca="1">_xlfn.T.INV.2T(W114*2,Y118)</f>
        <v>1.7247182429207868</v>
      </c>
      <c r="X122" s="70" t="str">
        <f ca="1">IF(T122&lt;W114,"yes","no")</f>
        <v>yes</v>
      </c>
    </row>
    <row r="123" spans="3:31" x14ac:dyDescent="0.3">
      <c r="C123" s="2" t="s">
        <v>296</v>
      </c>
      <c r="D123" s="37" cm="1">
        <f t="array" aca="1" ref="D123" ca="1">INDIRECT("'" &amp; C123 &amp; "'!$E$161")</f>
        <v>2</v>
      </c>
      <c r="E123" s="37" cm="1">
        <f t="array" aca="1" ref="E123" ca="1">INDIRECT("'" &amp; C123 &amp; "'!$F$161")</f>
        <v>1</v>
      </c>
      <c r="G123" t="s">
        <v>309</v>
      </c>
      <c r="H123">
        <f ca="1">H124-H125</f>
        <v>4</v>
      </c>
      <c r="J123" t="s">
        <v>333</v>
      </c>
      <c r="K123">
        <f ca="1">[1]!DPTEST(D112:D132)</f>
        <v>0.29162162706013894</v>
      </c>
      <c r="M123" t="s">
        <v>309</v>
      </c>
      <c r="N123">
        <f ca="1">N124-N125</f>
        <v>4</v>
      </c>
      <c r="P123" t="s">
        <v>333</v>
      </c>
      <c r="Q123">
        <f ca="1">[1]!DPTEST(E112:E132)</f>
        <v>6.5602356880134494E-10</v>
      </c>
      <c r="S123" t="s">
        <v>357</v>
      </c>
      <c r="T123">
        <f ca="1">_xlfn.T.DIST.2T(ABS(X118),Y118)</f>
        <v>1.1225240153240831E-3</v>
      </c>
      <c r="U123">
        <f ca="1">_xlfn.T.INV.2T(W114,Y118)</f>
        <v>2.0859634472658648</v>
      </c>
      <c r="V123">
        <f ca="1">(U116-U117)-W118*U123</f>
        <v>0.40810394112717518</v>
      </c>
      <c r="W123">
        <f ca="1">(U116-U117)+W118*U123</f>
        <v>1.4014198683966346</v>
      </c>
      <c r="X123" s="70" t="str">
        <f ca="1">IF(T123&lt;W114,"yes","no")</f>
        <v>yes</v>
      </c>
      <c r="AD123" s="70" t="s">
        <v>365</v>
      </c>
      <c r="AE123" s="70" t="s">
        <v>366</v>
      </c>
    </row>
    <row r="124" spans="3:31" x14ac:dyDescent="0.3">
      <c r="C124" s="2" t="s">
        <v>297</v>
      </c>
      <c r="D124" s="37" cm="1">
        <f t="array" aca="1" ref="D124" ca="1">INDIRECT("'" &amp; C124 &amp; "'!$E$161")</f>
        <v>2</v>
      </c>
      <c r="E124" s="37" cm="1">
        <f t="array" aca="1" ref="E124" ca="1">INDIRECT("'" &amp; C124 &amp; "'!$F$161")</f>
        <v>1</v>
      </c>
      <c r="G124" t="s">
        <v>310</v>
      </c>
      <c r="H124" s="65">
        <f ca="1">MAX(D112:D132)</f>
        <v>5</v>
      </c>
      <c r="J124" t="s">
        <v>334</v>
      </c>
      <c r="K124">
        <v>0.05</v>
      </c>
      <c r="M124" t="s">
        <v>310</v>
      </c>
      <c r="N124" s="65">
        <f ca="1">MAX(E112:E132)</f>
        <v>5</v>
      </c>
      <c r="P124" t="s">
        <v>334</v>
      </c>
      <c r="Q124">
        <v>0.05</v>
      </c>
      <c r="S124" s="130"/>
      <c r="T124" s="130"/>
      <c r="U124" s="130"/>
      <c r="V124" s="130"/>
      <c r="W124" s="130"/>
      <c r="X124" s="130"/>
      <c r="AC124" t="s">
        <v>367</v>
      </c>
      <c r="AD124" s="117">
        <f ca="1">AD118*(AD118+1)/4</f>
        <v>52.5</v>
      </c>
    </row>
    <row r="125" spans="3:31" x14ac:dyDescent="0.3">
      <c r="C125" s="2" t="s">
        <v>298</v>
      </c>
      <c r="D125" s="37" cm="1">
        <f t="array" aca="1" ref="D125" ca="1">INDIRECT("'" &amp; C125 &amp; "'!$E$161")</f>
        <v>1</v>
      </c>
      <c r="E125" s="37" cm="1">
        <f t="array" aca="1" ref="E125" ca="1">INDIRECT("'" &amp; C125 &amp; "'!$F$161")</f>
        <v>1</v>
      </c>
      <c r="G125" t="s">
        <v>311</v>
      </c>
      <c r="H125" s="65">
        <f ca="1">MIN(D112:D132)</f>
        <v>1</v>
      </c>
      <c r="J125" s="134" t="s">
        <v>335</v>
      </c>
      <c r="K125" s="136" t="str">
        <f ca="1">IF(K123&lt;K124,"no","yes")</f>
        <v>yes</v>
      </c>
      <c r="M125" t="s">
        <v>311</v>
      </c>
      <c r="N125" s="65">
        <f ca="1">MIN(E112:E132)</f>
        <v>1</v>
      </c>
      <c r="P125" s="134" t="s">
        <v>335</v>
      </c>
      <c r="Q125" s="136" t="str">
        <f ca="1">IF(Q123&lt;Q124,"no","yes")</f>
        <v>no</v>
      </c>
      <c r="AC125" t="s">
        <v>368</v>
      </c>
      <c r="AD125" s="74">
        <f ca="1">SQRT(AD124*(2*AD118+1)/6-[1]!TiesCorrection(D112:D132,E112:E132,1)/48)</f>
        <v>15.252049042669643</v>
      </c>
      <c r="AE125" t="s">
        <v>369</v>
      </c>
    </row>
    <row r="126" spans="3:31" x14ac:dyDescent="0.3">
      <c r="C126" s="2" t="s">
        <v>299</v>
      </c>
      <c r="D126" s="37" cm="1">
        <f t="array" aca="1" ref="D126" ca="1">INDIRECT("'" &amp; C126 &amp; "'!$E$161")</f>
        <v>1</v>
      </c>
      <c r="E126" s="37" cm="1">
        <f t="array" aca="1" ref="E126" ca="1">INDIRECT("'" &amp; C126 &amp; "'!$F$161")</f>
        <v>1</v>
      </c>
      <c r="G126" t="s">
        <v>312</v>
      </c>
      <c r="H126" s="65">
        <f ca="1">SUM(D112:D132)</f>
        <v>47</v>
      </c>
      <c r="M126" t="s">
        <v>312</v>
      </c>
      <c r="N126" s="65">
        <f ca="1">SUM(E112:E132)</f>
        <v>28</v>
      </c>
      <c r="AC126" t="s">
        <v>370</v>
      </c>
      <c r="AD126" s="74">
        <f ca="1">ABS(ABS(AD121-AD124)-1/2)/AD125</f>
        <v>3.0487706845099987</v>
      </c>
      <c r="AE126" t="s">
        <v>371</v>
      </c>
    </row>
    <row r="127" spans="3:31" x14ac:dyDescent="0.3">
      <c r="C127" s="2" t="s">
        <v>395</v>
      </c>
      <c r="D127" s="37" cm="1">
        <f t="array" aca="1" ref="D127" ca="1">INDIRECT("'" &amp; C127 &amp; "'!$E$161")</f>
        <v>2</v>
      </c>
      <c r="E127" s="37" cm="1">
        <f t="array" aca="1" ref="E127" ca="1">INDIRECT("'" &amp; C127 &amp; "'!$F$161")</f>
        <v>1</v>
      </c>
      <c r="G127" t="s">
        <v>313</v>
      </c>
      <c r="H127">
        <f ca="1">COUNT(D112:D132)</f>
        <v>21</v>
      </c>
      <c r="M127" t="s">
        <v>313</v>
      </c>
      <c r="N127">
        <f ca="1">COUNT(E112:E132)</f>
        <v>21</v>
      </c>
      <c r="AC127" t="s">
        <v>372</v>
      </c>
      <c r="AD127" s="74">
        <f ca="1">AD126/SQRT(AD118)</f>
        <v>0.81481823944833442</v>
      </c>
    </row>
    <row r="128" spans="3:31" x14ac:dyDescent="0.3">
      <c r="C128" s="2" t="s">
        <v>396</v>
      </c>
      <c r="D128" s="37" cm="1">
        <f t="array" aca="1" ref="D128" ca="1">INDIRECT("'" &amp; C128 &amp; "'!$E$161")</f>
        <v>2</v>
      </c>
      <c r="E128" s="37" cm="1">
        <f t="array" aca="1" ref="E128" ca="1">INDIRECT("'" &amp; C128 &amp; "'!$F$161")</f>
        <v>1</v>
      </c>
      <c r="G128" t="s">
        <v>314</v>
      </c>
      <c r="H128">
        <f ca="1">GEOMEAN(D112:D132)</f>
        <v>1.9399760449482435</v>
      </c>
      <c r="M128" t="s">
        <v>314</v>
      </c>
      <c r="N128">
        <f ca="1">GEOMEAN(E112:E132)</f>
        <v>1.192033802909203</v>
      </c>
      <c r="AC128" t="s">
        <v>373</v>
      </c>
      <c r="AD128" s="117">
        <f ca="1">1-_xlfn.NORM.S.DIST(AD126,TRUE)</f>
        <v>1.1488990203817329E-3</v>
      </c>
      <c r="AE128" s="118">
        <f ca="1">2*AD128</f>
        <v>2.2977980407634657E-3</v>
      </c>
    </row>
    <row r="129" spans="3:31" x14ac:dyDescent="0.3">
      <c r="C129" s="2" t="s">
        <v>397</v>
      </c>
      <c r="D129" s="37" cm="1">
        <f t="array" aca="1" ref="D129" ca="1">INDIRECT("'" &amp; C129 &amp; "'!$E$161")</f>
        <v>1</v>
      </c>
      <c r="E129" s="37" cm="1">
        <f t="array" aca="1" ref="E129" ca="1">INDIRECT("'" &amp; C129 &amp; "'!$F$161")</f>
        <v>1</v>
      </c>
      <c r="G129" t="s">
        <v>315</v>
      </c>
      <c r="H129">
        <f ca="1">HARMEAN(D112:D132)</f>
        <v>1.6867469879518073</v>
      </c>
      <c r="M129" t="s">
        <v>315</v>
      </c>
      <c r="N129">
        <f ca="1">HARMEAN(E112:E132)</f>
        <v>1.1229946524064172</v>
      </c>
      <c r="AC129" t="s">
        <v>374</v>
      </c>
      <c r="AD129" s="74">
        <f ca="1">[1]!SRDIST(AD121,AD118,1)</f>
        <v>6.103515625E-4</v>
      </c>
      <c r="AE129" s="77">
        <f ca="1">2*AD129</f>
        <v>1.220703125E-3</v>
      </c>
    </row>
    <row r="130" spans="3:31" x14ac:dyDescent="0.3">
      <c r="C130" s="2" t="s">
        <v>398</v>
      </c>
      <c r="D130" s="37" cm="1">
        <f t="array" aca="1" ref="D130" ca="1">INDIRECT("'" &amp; C130 &amp; "'!$E$161")</f>
        <v>3</v>
      </c>
      <c r="E130" s="37" cm="1">
        <f t="array" aca="1" ref="E130" ca="1">INDIRECT("'" &amp; C130 &amp; "'!$F$161")</f>
        <v>1</v>
      </c>
      <c r="G130" t="s">
        <v>316</v>
      </c>
      <c r="H130">
        <f ca="1">AVEDEV(D112:D132)</f>
        <v>0.98412698412698385</v>
      </c>
      <c r="M130" t="s">
        <v>316</v>
      </c>
      <c r="N130">
        <f ca="1">AVEDEV(E112:E132)</f>
        <v>0.53968253968253954</v>
      </c>
      <c r="AC130" t="s">
        <v>375</v>
      </c>
      <c r="AD130" s="132" t="s">
        <v>376</v>
      </c>
      <c r="AE130" s="133" t="s">
        <v>376</v>
      </c>
    </row>
    <row r="131" spans="3:31" x14ac:dyDescent="0.3">
      <c r="C131" s="2" t="s">
        <v>399</v>
      </c>
      <c r="D131" s="37" cm="1">
        <f t="array" aca="1" ref="D131" ca="1">INDIRECT("'" &amp; C131 &amp; "'!$E$161")</f>
        <v>5</v>
      </c>
      <c r="E131" s="37" cm="1">
        <f t="array" aca="1" ref="E131" ca="1">INDIRECT("'" &amp; C131 &amp; "'!$F$161")</f>
        <v>5</v>
      </c>
      <c r="G131" t="s">
        <v>317</v>
      </c>
      <c r="H131">
        <f ca="1">[1]!MAD(D112:D132)</f>
        <v>1</v>
      </c>
      <c r="M131" t="s">
        <v>317</v>
      </c>
      <c r="N131">
        <f ca="1">[1]!MAD(E112:E132)</f>
        <v>0</v>
      </c>
    </row>
    <row r="132" spans="3:31" x14ac:dyDescent="0.3">
      <c r="C132" s="2" t="s">
        <v>400</v>
      </c>
      <c r="D132" s="37" cm="1">
        <f t="array" aca="1" ref="D132" ca="1">INDIRECT("'" &amp; C132 &amp; "'!$E$161")</f>
        <v>3</v>
      </c>
      <c r="E132" s="37" cm="1">
        <f t="array" aca="1" ref="E132" ca="1">INDIRECT("'" &amp; C132 &amp; "'!$F$161")</f>
        <v>2</v>
      </c>
      <c r="G132" s="134" t="s">
        <v>318</v>
      </c>
      <c r="H132" s="134">
        <f ca="1">[1]!IQR(D112:D132,FALSE)</f>
        <v>2</v>
      </c>
      <c r="M132" s="134" t="s">
        <v>318</v>
      </c>
      <c r="N132" s="134">
        <f ca="1">[1]!IQR(E112:E132,FALSE)</f>
        <v>0</v>
      </c>
    </row>
    <row r="134" spans="3:31" x14ac:dyDescent="0.3">
      <c r="D134" s="37"/>
      <c r="E134" s="37"/>
    </row>
    <row r="137" spans="3:31" x14ac:dyDescent="0.3">
      <c r="G137" t="s">
        <v>429</v>
      </c>
      <c r="H137" t="s">
        <v>301</v>
      </c>
      <c r="I137" t="s">
        <v>303</v>
      </c>
      <c r="J137" t="s">
        <v>305</v>
      </c>
    </row>
    <row r="138" spans="3:31" x14ac:dyDescent="0.3">
      <c r="G138" t="s">
        <v>428</v>
      </c>
    </row>
    <row r="139" spans="3:31" x14ac:dyDescent="0.3">
      <c r="C139" s="2"/>
      <c r="D139" s="59" t="s">
        <v>194</v>
      </c>
      <c r="E139" s="2"/>
    </row>
    <row r="140" spans="3:31" x14ac:dyDescent="0.3">
      <c r="C140" s="2"/>
      <c r="D140" s="2"/>
      <c r="E140" s="2"/>
    </row>
    <row r="141" spans="3:31" x14ac:dyDescent="0.3">
      <c r="C141" s="2" t="s">
        <v>285</v>
      </c>
      <c r="D141" s="37" cm="1">
        <f t="array" aca="1" ref="D141" ca="1">INDIRECT("'" &amp; C141 &amp; "'!$E$162")</f>
        <v>4</v>
      </c>
      <c r="E141" s="37" cm="1">
        <f t="array" aca="1" ref="E141" ca="1">INDIRECT("'" &amp; C141 &amp; "'!$F$162")</f>
        <v>4</v>
      </c>
      <c r="G141" t="s">
        <v>300</v>
      </c>
      <c r="J141" t="s">
        <v>331</v>
      </c>
      <c r="M141" t="s">
        <v>300</v>
      </c>
      <c r="P141" t="s">
        <v>331</v>
      </c>
      <c r="S141" t="s">
        <v>338</v>
      </c>
      <c r="AC141" t="s">
        <v>358</v>
      </c>
    </row>
    <row r="142" spans="3:31" x14ac:dyDescent="0.3">
      <c r="C142" s="2" t="s">
        <v>286</v>
      </c>
      <c r="D142" s="37" cm="1">
        <f t="array" aca="1" ref="D142" ca="1">INDIRECT("'" &amp; C142 &amp; "'!$E$162")</f>
        <v>5</v>
      </c>
      <c r="E142" s="37" cm="1">
        <f t="array" aca="1" ref="E142" ca="1">INDIRECT("'" &amp; C142 &amp; "'!$F$162")</f>
        <v>5</v>
      </c>
    </row>
    <row r="143" spans="3:31" ht="15" thickBot="1" x14ac:dyDescent="0.35">
      <c r="C143" s="2" t="s">
        <v>287</v>
      </c>
      <c r="D143" s="37" cm="1">
        <f t="array" aca="1" ref="D143" ca="1">INDIRECT("'" &amp; C143 &amp; "'!$E$162")</f>
        <v>5</v>
      </c>
      <c r="E143" s="37" cm="1">
        <f t="array" aca="1" ref="E143" ca="1">INDIRECT("'" &amp; C143 &amp; "'!$F$162")</f>
        <v>5</v>
      </c>
      <c r="G143" s="135"/>
      <c r="H143" s="135" t="s">
        <v>379</v>
      </c>
      <c r="J143" s="135"/>
      <c r="K143" s="135" t="s">
        <v>379</v>
      </c>
      <c r="M143" s="135"/>
      <c r="N143" s="135" t="s">
        <v>379</v>
      </c>
      <c r="P143" s="135"/>
      <c r="Q143" s="135" t="s">
        <v>379</v>
      </c>
      <c r="S143" t="s">
        <v>339</v>
      </c>
      <c r="V143" t="s">
        <v>340</v>
      </c>
      <c r="W143">
        <v>0.05</v>
      </c>
      <c r="Y143" t="s">
        <v>341</v>
      </c>
      <c r="Z143">
        <v>0</v>
      </c>
      <c r="AD143" t="s">
        <v>381</v>
      </c>
      <c r="AE143" t="s">
        <v>382</v>
      </c>
    </row>
    <row r="144" spans="3:31" ht="15" thickTop="1" x14ac:dyDescent="0.3">
      <c r="C144" s="2" t="s">
        <v>288</v>
      </c>
      <c r="D144" s="37" cm="1">
        <f t="array" aca="1" ref="D144" ca="1">INDIRECT("'" &amp; C144 &amp; "'!$E$162")</f>
        <v>5</v>
      </c>
      <c r="E144" s="37" cm="1">
        <f t="array" aca="1" ref="E144" ca="1">INDIRECT("'" &amp; C144 &amp; "'!$F$162")</f>
        <v>5</v>
      </c>
      <c r="F144" s="79"/>
      <c r="G144" t="s">
        <v>301</v>
      </c>
      <c r="H144" s="65">
        <f ca="1">AVERAGE(D141:D161)</f>
        <v>4.5714285714285712</v>
      </c>
      <c r="J144" t="s">
        <v>332</v>
      </c>
      <c r="K144">
        <f ca="1">[1]!SHAPIRO(D141:D161)</f>
        <v>0.68894009204189066</v>
      </c>
      <c r="M144" t="s">
        <v>301</v>
      </c>
      <c r="N144" s="65">
        <f ca="1">AVERAGE(E141:E161)</f>
        <v>4.9047619047619051</v>
      </c>
      <c r="P144" t="s">
        <v>332</v>
      </c>
      <c r="Q144">
        <f ca="1">[1]!SHAPIRO(E141:E161)</f>
        <v>0.34140676961128619</v>
      </c>
      <c r="S144" s="101" t="s">
        <v>342</v>
      </c>
      <c r="T144" s="101" t="s">
        <v>313</v>
      </c>
      <c r="U144" s="101" t="s">
        <v>301</v>
      </c>
      <c r="V144" s="101" t="s">
        <v>343</v>
      </c>
      <c r="W144" s="101" t="s">
        <v>344</v>
      </c>
      <c r="X144" s="101" t="s">
        <v>345</v>
      </c>
      <c r="Y144" s="101" t="s">
        <v>346</v>
      </c>
      <c r="Z144" s="101" t="s">
        <v>347</v>
      </c>
      <c r="AA144" s="101" t="s">
        <v>348</v>
      </c>
      <c r="AC144" t="s">
        <v>359</v>
      </c>
      <c r="AD144" s="115">
        <f ca="1">MEDIAN(D141:D161)</f>
        <v>5</v>
      </c>
      <c r="AE144" s="116">
        <f ca="1">MEDIAN(E141:E161)</f>
        <v>5</v>
      </c>
    </row>
    <row r="145" spans="3:31" x14ac:dyDescent="0.3">
      <c r="C145" s="2" t="s">
        <v>289</v>
      </c>
      <c r="D145" s="37" cm="1">
        <f t="array" aca="1" ref="D145" ca="1">INDIRECT("'" &amp; C145 &amp; "'!$E$162")</f>
        <v>5</v>
      </c>
      <c r="E145" s="37" cm="1">
        <f t="array" aca="1" ref="E145" ca="1">INDIRECT("'" &amp; C145 &amp; "'!$F$162")</f>
        <v>5</v>
      </c>
      <c r="G145" t="s">
        <v>302</v>
      </c>
      <c r="H145">
        <f ca="1">_xlfn.STDEV.S(D141:D161)/SQRT(COUNT(D141:D161))</f>
        <v>0.1304101327393255</v>
      </c>
      <c r="J145" t="s">
        <v>333</v>
      </c>
      <c r="K145">
        <f ca="1">[1]!SWTEST(D141:D161)</f>
        <v>2.0109199957540902E-5</v>
      </c>
      <c r="M145" t="s">
        <v>302</v>
      </c>
      <c r="N145">
        <f ca="1">_xlfn.STDEV.S(E141:E161)/SQRT(COUNT(E141:E161))</f>
        <v>6.5638327390905818E-2</v>
      </c>
      <c r="P145" t="s">
        <v>333</v>
      </c>
      <c r="Q145">
        <f ca="1">[1]!SWTEST(E141:E161)</f>
        <v>9.3990100147323119E-9</v>
      </c>
      <c r="S145" t="s">
        <v>379</v>
      </c>
      <c r="T145">
        <f ca="1">COUNT(D141:D161)</f>
        <v>21</v>
      </c>
      <c r="U145" s="65">
        <f ca="1">AVERAGE(D141:D161)</f>
        <v>4.5714285714285712</v>
      </c>
      <c r="V145">
        <f ca="1">_xlfn.STDEV.S(D141:D161)</f>
        <v>0.59761430466719789</v>
      </c>
    </row>
    <row r="146" spans="3:31" x14ac:dyDescent="0.3">
      <c r="C146" s="2" t="s">
        <v>290</v>
      </c>
      <c r="D146" s="37" cm="1">
        <f t="array" aca="1" ref="D146" ca="1">INDIRECT("'" &amp; C146 &amp; "'!$E$162")</f>
        <v>5</v>
      </c>
      <c r="E146" s="37" cm="1">
        <f t="array" aca="1" ref="E146" ca="1">INDIRECT("'" &amp; C146 &amp; "'!$F$162")</f>
        <v>5</v>
      </c>
      <c r="G146" t="s">
        <v>303</v>
      </c>
      <c r="H146" s="65">
        <f ca="1">MEDIAN(D141:D161)</f>
        <v>5</v>
      </c>
      <c r="J146" t="s">
        <v>334</v>
      </c>
      <c r="K146">
        <v>0.05</v>
      </c>
      <c r="M146" t="s">
        <v>303</v>
      </c>
      <c r="N146" s="65">
        <f ca="1">MEDIAN(E141:E161)</f>
        <v>5</v>
      </c>
      <c r="P146" t="s">
        <v>334</v>
      </c>
      <c r="Q146">
        <v>0.05</v>
      </c>
      <c r="S146" t="s">
        <v>380</v>
      </c>
      <c r="T146">
        <f ca="1">COUNT(E141:E161)</f>
        <v>21</v>
      </c>
      <c r="U146" s="65">
        <f ca="1">AVERAGE(E141:E161)</f>
        <v>4.9047619047619051</v>
      </c>
      <c r="V146">
        <f ca="1">_xlfn.STDEV.S(E141:E161)</f>
        <v>0.30079260375911915</v>
      </c>
      <c r="AC146" t="s">
        <v>360</v>
      </c>
      <c r="AD146" s="117">
        <f ca="1">SUMPRODUCT(--ISNUMBER(D141:D161),--ISNUMBER(E141:E161))</f>
        <v>21</v>
      </c>
    </row>
    <row r="147" spans="3:31" x14ac:dyDescent="0.3">
      <c r="C147" s="2" t="s">
        <v>291</v>
      </c>
      <c r="D147" s="37" cm="1">
        <f t="array" aca="1" ref="D147" ca="1">INDIRECT("'" &amp; C147 &amp; "'!$E$162")</f>
        <v>5</v>
      </c>
      <c r="E147" s="37" cm="1">
        <f t="array" aca="1" ref="E147" ca="1">INDIRECT("'" &amp; C147 &amp; "'!$F$162")</f>
        <v>5</v>
      </c>
      <c r="G147" t="s">
        <v>304</v>
      </c>
      <c r="H147">
        <f ca="1">MODE(D141:D161)</f>
        <v>5</v>
      </c>
      <c r="J147" s="134" t="s">
        <v>335</v>
      </c>
      <c r="K147" s="136" t="str">
        <f ca="1">IF(K145&lt;K146,"no","yes")</f>
        <v>no</v>
      </c>
      <c r="M147" t="s">
        <v>304</v>
      </c>
      <c r="N147">
        <f ca="1">MODE(E141:E161)</f>
        <v>5</v>
      </c>
      <c r="P147" s="134" t="s">
        <v>335</v>
      </c>
      <c r="Q147" s="136" t="str">
        <f ca="1">IF(Q145&lt;Q146,"no","yes")</f>
        <v>no</v>
      </c>
      <c r="S147" s="130" t="s">
        <v>349</v>
      </c>
      <c r="T147" s="130">
        <f ca="1">T146</f>
        <v>21</v>
      </c>
      <c r="U147" s="131">
        <f ca="1">U145-U146</f>
        <v>-0.33333333333333393</v>
      </c>
      <c r="V147" s="130">
        <f t="array" aca="1" ref="V147" ca="1">_xlfn.STDEV.S(D141:D161-E141:E161)</f>
        <v>0.57735026918962573</v>
      </c>
      <c r="W147" s="130">
        <f ca="1">V147/SQRT(T147)</f>
        <v>0.12598815766974242</v>
      </c>
      <c r="X147" s="130">
        <f ca="1">(U145-U146-Z143)/W147</f>
        <v>-2.6457513110645952</v>
      </c>
      <c r="Y147" s="130">
        <f ca="1">T147-1</f>
        <v>20</v>
      </c>
      <c r="Z147" s="130">
        <f ca="1">ABS(U145-U146-Z143)/V147</f>
        <v>0.57735026918962684</v>
      </c>
      <c r="AA147" s="130">
        <f ca="1">SQRT(X147^2/(X147^2+Y147))</f>
        <v>0.50917507721731614</v>
      </c>
      <c r="AC147" t="s">
        <v>361</v>
      </c>
      <c r="AD147" s="74">
        <f ca="1">SUMPRODUCT(--ISNUMBER(D141:D161),--ISNUMBER(E141:E161),--(D141:D161&lt;&gt;E141:E161))</f>
        <v>6</v>
      </c>
    </row>
    <row r="148" spans="3:31" x14ac:dyDescent="0.3">
      <c r="C148" s="2" t="s">
        <v>292</v>
      </c>
      <c r="D148" s="37" cm="1">
        <f t="array" aca="1" ref="D148" ca="1">INDIRECT("'" &amp; C148 &amp; "'!$E$162")</f>
        <v>5</v>
      </c>
      <c r="E148" s="37" cm="1">
        <f t="array" aca="1" ref="E148" ca="1">INDIRECT("'" &amp; C148 &amp; "'!$F$162")</f>
        <v>5</v>
      </c>
      <c r="G148" t="s">
        <v>305</v>
      </c>
      <c r="H148">
        <f ca="1">_xlfn.STDEV.S(D141:D161)</f>
        <v>0.59761430466719789</v>
      </c>
      <c r="M148" t="s">
        <v>305</v>
      </c>
      <c r="N148">
        <f ca="1">_xlfn.STDEV.S(E141:E161)</f>
        <v>0.30079260375911915</v>
      </c>
      <c r="AC148" t="s">
        <v>362</v>
      </c>
      <c r="AD148" s="74">
        <f ca="1">IF(AD150&lt;=AD153,AD150,AD147*(AD147+1)/2)</f>
        <v>0</v>
      </c>
    </row>
    <row r="149" spans="3:31" ht="15" thickBot="1" x14ac:dyDescent="0.35">
      <c r="C149" s="2" t="s">
        <v>293</v>
      </c>
      <c r="D149" s="37" cm="1">
        <f t="array" aca="1" ref="D149" ca="1">INDIRECT("'" &amp; C149 &amp; "'!$E$162")</f>
        <v>5</v>
      </c>
      <c r="E149" s="37" cm="1">
        <f t="array" aca="1" ref="E149" ca="1">INDIRECT("'" &amp; C149 &amp; "'!$F$162")</f>
        <v>5</v>
      </c>
      <c r="G149" t="s">
        <v>306</v>
      </c>
      <c r="H149">
        <f ca="1">_xlfn.VAR.S(D141:D161)</f>
        <v>0.35714285714285837</v>
      </c>
      <c r="J149" t="s">
        <v>336</v>
      </c>
      <c r="M149" t="s">
        <v>306</v>
      </c>
      <c r="N149">
        <f ca="1">_xlfn.VAR.S(E141:E161)</f>
        <v>9.0476190476190474E-2</v>
      </c>
      <c r="P149" t="s">
        <v>336</v>
      </c>
      <c r="S149" t="s">
        <v>350</v>
      </c>
      <c r="AC149" t="s">
        <v>363</v>
      </c>
      <c r="AD149" s="74">
        <f ca="1">AD147*(AD147+1)/2-AD148</f>
        <v>21</v>
      </c>
    </row>
    <row r="150" spans="3:31" ht="15" thickTop="1" x14ac:dyDescent="0.3">
      <c r="C150" s="2" t="s">
        <v>294</v>
      </c>
      <c r="D150" s="37" cm="1">
        <f t="array" aca="1" ref="D150" ca="1">INDIRECT("'" &amp; C150 &amp; "'!$E$162")</f>
        <v>4</v>
      </c>
      <c r="E150" s="37" cm="1">
        <f t="array" aca="1" ref="E150" ca="1">INDIRECT("'" &amp; C150 &amp; "'!$F$162")</f>
        <v>5</v>
      </c>
      <c r="F150" s="79"/>
      <c r="G150" t="s">
        <v>307</v>
      </c>
      <c r="H150">
        <f ca="1">KURT(D141:D161)</f>
        <v>0.34778947368420754</v>
      </c>
      <c r="M150" t="s">
        <v>307</v>
      </c>
      <c r="N150">
        <f ca="1">KURT(E141:E161)</f>
        <v>7.5623268698061175</v>
      </c>
      <c r="S150" s="101" t="s">
        <v>351</v>
      </c>
      <c r="T150" s="101" t="s">
        <v>333</v>
      </c>
      <c r="U150" s="101" t="s">
        <v>352</v>
      </c>
      <c r="V150" s="101" t="s">
        <v>353</v>
      </c>
      <c r="W150" s="101" t="s">
        <v>354</v>
      </c>
      <c r="X150" s="101" t="s">
        <v>355</v>
      </c>
      <c r="AC150" t="s">
        <v>364</v>
      </c>
      <c r="AD150" s="132">
        <f ca="1">[1]!SRANK(D141:D161,E141:E161)</f>
        <v>0</v>
      </c>
    </row>
    <row r="151" spans="3:31" x14ac:dyDescent="0.3">
      <c r="C151" s="2" t="s">
        <v>295</v>
      </c>
      <c r="D151" s="37" cm="1">
        <f t="array" aca="1" ref="D151" ca="1">INDIRECT("'" &amp; C151 &amp; "'!$E$162")</f>
        <v>5</v>
      </c>
      <c r="E151" s="37" cm="1">
        <f t="array" aca="1" ref="E151" ca="1">INDIRECT("'" &amp; C151 &amp; "'!$F$162")</f>
        <v>5</v>
      </c>
      <c r="G151" t="s">
        <v>308</v>
      </c>
      <c r="H151">
        <f ca="1">SKEW(D141:D161)</f>
        <v>-1.0779703920817969</v>
      </c>
      <c r="J151" s="130" t="s">
        <v>337</v>
      </c>
      <c r="K151" s="130">
        <f ca="1">[1]!DAGOSTINO(D141:D161)</f>
        <v>4.7477052378650324</v>
      </c>
      <c r="M151" t="s">
        <v>308</v>
      </c>
      <c r="N151">
        <f ca="1">SKEW(E141:E161)</f>
        <v>-2.974597217230075</v>
      </c>
      <c r="P151" s="130" t="s">
        <v>337</v>
      </c>
      <c r="Q151" s="130">
        <f ca="1">[1]!DAGOSTINO(E141:E161)</f>
        <v>31.034118274190057</v>
      </c>
      <c r="S151" t="s">
        <v>356</v>
      </c>
      <c r="T151">
        <f ca="1">_xlfn.T.DIST.RT(ABS(X147),Y147)</f>
        <v>7.7545119900526097E-3</v>
      </c>
      <c r="U151">
        <f ca="1">_xlfn.T.INV.2T(W143*2,Y147)</f>
        <v>1.7247182429207868</v>
      </c>
      <c r="X151" s="70" t="str">
        <f ca="1">IF(T151&lt;W143,"yes","no")</f>
        <v>yes</v>
      </c>
    </row>
    <row r="152" spans="3:31" x14ac:dyDescent="0.3">
      <c r="C152" s="2" t="s">
        <v>296</v>
      </c>
      <c r="D152" s="37" cm="1">
        <f t="array" aca="1" ref="D152" ca="1">INDIRECT("'" &amp; C152 &amp; "'!$E$162")</f>
        <v>3</v>
      </c>
      <c r="E152" s="37" cm="1">
        <f t="array" aca="1" ref="E152" ca="1">INDIRECT("'" &amp; C152 &amp; "'!$F$162")</f>
        <v>5</v>
      </c>
      <c r="G152" t="s">
        <v>309</v>
      </c>
      <c r="H152">
        <f ca="1">H153-H154</f>
        <v>2</v>
      </c>
      <c r="J152" t="s">
        <v>333</v>
      </c>
      <c r="K152">
        <f ca="1">[1]!DPTEST(D141:D161)</f>
        <v>9.3121273524020221E-2</v>
      </c>
      <c r="M152" t="s">
        <v>309</v>
      </c>
      <c r="N152">
        <f ca="1">N153-N154</f>
        <v>1</v>
      </c>
      <c r="P152" t="s">
        <v>333</v>
      </c>
      <c r="Q152">
        <f ca="1">[1]!DPTEST(E141:E161)</f>
        <v>1.8240084309617544E-7</v>
      </c>
      <c r="S152" t="s">
        <v>357</v>
      </c>
      <c r="T152">
        <f ca="1">_xlfn.T.DIST.2T(ABS(X147),Y147)</f>
        <v>1.5509023980105219E-2</v>
      </c>
      <c r="U152">
        <f ca="1">_xlfn.T.INV.2T(W143,Y147)</f>
        <v>2.0859634472658648</v>
      </c>
      <c r="V152">
        <f ca="1">(U145-U146)-W147*U152</f>
        <v>-0.59614002502078511</v>
      </c>
      <c r="W152">
        <f ca="1">(U145-U146)+W147*U152</f>
        <v>-7.0526641645882737E-2</v>
      </c>
      <c r="X152" s="70" t="str">
        <f ca="1">IF(T152&lt;W143,"yes","no")</f>
        <v>yes</v>
      </c>
      <c r="AD152" s="70" t="s">
        <v>365</v>
      </c>
      <c r="AE152" s="70" t="s">
        <v>366</v>
      </c>
    </row>
    <row r="153" spans="3:31" x14ac:dyDescent="0.3">
      <c r="C153" s="2" t="s">
        <v>297</v>
      </c>
      <c r="D153" s="37" cm="1">
        <f t="array" aca="1" ref="D153" ca="1">INDIRECT("'" &amp; C153 &amp; "'!$E$162")</f>
        <v>4</v>
      </c>
      <c r="E153" s="37" cm="1">
        <f t="array" aca="1" ref="E153" ca="1">INDIRECT("'" &amp; C153 &amp; "'!$F$162")</f>
        <v>4</v>
      </c>
      <c r="G153" t="s">
        <v>310</v>
      </c>
      <c r="H153" s="65">
        <f ca="1">MAX(D141:D161)</f>
        <v>5</v>
      </c>
      <c r="J153" t="s">
        <v>334</v>
      </c>
      <c r="K153">
        <v>0.05</v>
      </c>
      <c r="M153" t="s">
        <v>310</v>
      </c>
      <c r="N153" s="65">
        <f ca="1">MAX(E141:E161)</f>
        <v>5</v>
      </c>
      <c r="P153" t="s">
        <v>334</v>
      </c>
      <c r="Q153">
        <v>0.05</v>
      </c>
      <c r="S153" s="130"/>
      <c r="T153" s="130"/>
      <c r="U153" s="130"/>
      <c r="V153" s="130"/>
      <c r="W153" s="130"/>
      <c r="X153" s="130"/>
      <c r="AC153" t="s">
        <v>367</v>
      </c>
      <c r="AD153" s="117">
        <f ca="1">AD147*(AD147+1)/4</f>
        <v>10.5</v>
      </c>
    </row>
    <row r="154" spans="3:31" x14ac:dyDescent="0.3">
      <c r="C154" s="2" t="s">
        <v>298</v>
      </c>
      <c r="D154" s="37" cm="1">
        <f t="array" aca="1" ref="D154" ca="1">INDIRECT("'" &amp; C154 &amp; "'!$E$162")</f>
        <v>5</v>
      </c>
      <c r="E154" s="37" cm="1">
        <f t="array" aca="1" ref="E154" ca="1">INDIRECT("'" &amp; C154 &amp; "'!$F$162")</f>
        <v>5</v>
      </c>
      <c r="G154" t="s">
        <v>311</v>
      </c>
      <c r="H154" s="65">
        <f ca="1">MIN(D141:D161)</f>
        <v>3</v>
      </c>
      <c r="J154" s="134" t="s">
        <v>335</v>
      </c>
      <c r="K154" s="136" t="str">
        <f ca="1">IF(K152&lt;K153,"no","yes")</f>
        <v>yes</v>
      </c>
      <c r="M154" t="s">
        <v>311</v>
      </c>
      <c r="N154" s="65">
        <f ca="1">MIN(E141:E161)</f>
        <v>4</v>
      </c>
      <c r="P154" s="134" t="s">
        <v>335</v>
      </c>
      <c r="Q154" s="136" t="str">
        <f ca="1">IF(Q152&lt;Q153,"no","yes")</f>
        <v>no</v>
      </c>
      <c r="AC154" t="s">
        <v>368</v>
      </c>
      <c r="AD154" s="74">
        <f ca="1">SQRT(AD153*(2*AD147+1)/6-[1]!TiesCorrection(D141:D161,E141:E161,1)/48)</f>
        <v>4.5</v>
      </c>
      <c r="AE154" t="s">
        <v>369</v>
      </c>
    </row>
    <row r="155" spans="3:31" x14ac:dyDescent="0.3">
      <c r="C155" s="2" t="s">
        <v>299</v>
      </c>
      <c r="D155" s="37" cm="1">
        <f t="array" aca="1" ref="D155" ca="1">INDIRECT("'" &amp; C155 &amp; "'!$E$162")</f>
        <v>5</v>
      </c>
      <c r="E155" s="37" cm="1">
        <f t="array" aca="1" ref="E155" ca="1">INDIRECT("'" &amp; C155 &amp; "'!$F$162")</f>
        <v>5</v>
      </c>
      <c r="G155" t="s">
        <v>312</v>
      </c>
      <c r="H155" s="65">
        <f ca="1">SUM(D141:D161)</f>
        <v>96</v>
      </c>
      <c r="M155" t="s">
        <v>312</v>
      </c>
      <c r="N155" s="65">
        <f ca="1">SUM(E141:E161)</f>
        <v>103</v>
      </c>
      <c r="AC155" t="s">
        <v>370</v>
      </c>
      <c r="AD155" s="74">
        <f ca="1">ABS(ABS(AD150-AD153)-1/2)/AD154</f>
        <v>2.2222222222222223</v>
      </c>
      <c r="AE155" t="s">
        <v>371</v>
      </c>
    </row>
    <row r="156" spans="3:31" x14ac:dyDescent="0.3">
      <c r="C156" s="2" t="s">
        <v>395</v>
      </c>
      <c r="D156" s="37" cm="1">
        <f t="array" aca="1" ref="D156" ca="1">INDIRECT("'" &amp; C156 &amp; "'!$E$162")</f>
        <v>4</v>
      </c>
      <c r="E156" s="37" cm="1">
        <f t="array" aca="1" ref="E156" ca="1">INDIRECT("'" &amp; C156 &amp; "'!$F$162")</f>
        <v>5</v>
      </c>
      <c r="G156" t="s">
        <v>313</v>
      </c>
      <c r="H156">
        <f ca="1">COUNT(D141:D161)</f>
        <v>21</v>
      </c>
      <c r="M156" t="s">
        <v>313</v>
      </c>
      <c r="N156">
        <f ca="1">COUNT(E141:E161)</f>
        <v>21</v>
      </c>
      <c r="AC156" t="s">
        <v>372</v>
      </c>
      <c r="AD156" s="74">
        <f ca="1">AD155/SQRT(AD147)</f>
        <v>0.90721842325302904</v>
      </c>
    </row>
    <row r="157" spans="3:31" x14ac:dyDescent="0.3">
      <c r="C157" s="2" t="s">
        <v>396</v>
      </c>
      <c r="D157" s="37" cm="1">
        <f t="array" aca="1" ref="D157" ca="1">INDIRECT("'" &amp; C157 &amp; "'!$E$162")</f>
        <v>5</v>
      </c>
      <c r="E157" s="37" cm="1">
        <f t="array" aca="1" ref="E157" ca="1">INDIRECT("'" &amp; C157 &amp; "'!$F$162")</f>
        <v>5</v>
      </c>
      <c r="G157" t="s">
        <v>314</v>
      </c>
      <c r="H157">
        <f ca="1">GEOMEAN(D141:D161)</f>
        <v>4.5300442105904279</v>
      </c>
      <c r="M157" t="s">
        <v>314</v>
      </c>
      <c r="N157">
        <f ca="1">GEOMEAN(E141:E161)</f>
        <v>4.8948623039214345</v>
      </c>
      <c r="AC157" t="s">
        <v>373</v>
      </c>
      <c r="AD157" s="117">
        <f ca="1">1-_xlfn.NORM.S.DIST(AD155,TRUE)</f>
        <v>1.3134145691021115E-2</v>
      </c>
      <c r="AE157" s="118">
        <f ca="1">2*AD157</f>
        <v>2.626829138204223E-2</v>
      </c>
    </row>
    <row r="158" spans="3:31" x14ac:dyDescent="0.3">
      <c r="C158" s="2" t="s">
        <v>397</v>
      </c>
      <c r="D158" s="37" cm="1">
        <f t="array" aca="1" ref="D158" ca="1">INDIRECT("'" &amp; C158 &amp; "'!$E$162")</f>
        <v>4</v>
      </c>
      <c r="E158" s="37" cm="1">
        <f t="array" aca="1" ref="E158" ca="1">INDIRECT("'" &amp; C158 &amp; "'!$F$162")</f>
        <v>5</v>
      </c>
      <c r="G158" t="s">
        <v>315</v>
      </c>
      <c r="H158">
        <f ca="1">HARMEAN(D141:D161)</f>
        <v>4.4839857651245545</v>
      </c>
      <c r="M158" t="s">
        <v>315</v>
      </c>
      <c r="N158">
        <f ca="1">HARMEAN(E141:E161)</f>
        <v>4.8837209302325562</v>
      </c>
      <c r="AC158" t="s">
        <v>374</v>
      </c>
      <c r="AD158" s="74">
        <f ca="1">[1]!SRDIST(AD150,AD147,1)</f>
        <v>1.5625E-2</v>
      </c>
      <c r="AE158" s="77">
        <f ca="1">2*AD158</f>
        <v>3.125E-2</v>
      </c>
    </row>
    <row r="159" spans="3:31" x14ac:dyDescent="0.3">
      <c r="C159" s="2" t="s">
        <v>398</v>
      </c>
      <c r="D159" s="37" cm="1">
        <f t="array" aca="1" ref="D159" ca="1">INDIRECT("'" &amp; C159 &amp; "'!$E$162")</f>
        <v>4</v>
      </c>
      <c r="E159" s="37" cm="1">
        <f t="array" aca="1" ref="E159" ca="1">INDIRECT("'" &amp; C159 &amp; "'!$F$162")</f>
        <v>5</v>
      </c>
      <c r="G159" t="s">
        <v>316</v>
      </c>
      <c r="H159">
        <f ca="1">AVEDEV(D141:D161)</f>
        <v>0.53061224489795922</v>
      </c>
      <c r="M159" t="s">
        <v>316</v>
      </c>
      <c r="N159">
        <f ca="1">AVEDEV(E141:E161)</f>
        <v>0.17233560090702921</v>
      </c>
      <c r="AC159" t="s">
        <v>375</v>
      </c>
      <c r="AD159" s="132" t="s">
        <v>376</v>
      </c>
      <c r="AE159" s="133" t="s">
        <v>376</v>
      </c>
    </row>
    <row r="160" spans="3:31" x14ac:dyDescent="0.3">
      <c r="C160" s="2" t="s">
        <v>399</v>
      </c>
      <c r="D160" s="37" cm="1">
        <f t="array" aca="1" ref="D160" ca="1">INDIRECT("'" &amp; C160 &amp; "'!$E$162")</f>
        <v>5</v>
      </c>
      <c r="E160" s="37" cm="1">
        <f t="array" aca="1" ref="E160" ca="1">INDIRECT("'" &amp; C160 &amp; "'!$F$162")</f>
        <v>5</v>
      </c>
      <c r="G160" t="s">
        <v>317</v>
      </c>
      <c r="H160">
        <f ca="1">[1]!MAD(D141:D161)</f>
        <v>0</v>
      </c>
      <c r="M160" t="s">
        <v>317</v>
      </c>
      <c r="N160">
        <f ca="1">[1]!MAD(E141:E161)</f>
        <v>0</v>
      </c>
    </row>
    <row r="161" spans="3:31" x14ac:dyDescent="0.3">
      <c r="C161" s="2" t="s">
        <v>400</v>
      </c>
      <c r="D161" s="37" cm="1">
        <f t="array" aca="1" ref="D161" ca="1">INDIRECT("'" &amp; C161 &amp; "'!$E$162")</f>
        <v>4</v>
      </c>
      <c r="E161" s="37" cm="1">
        <f t="array" aca="1" ref="E161" ca="1">INDIRECT("'" &amp; C161 &amp; "'!$F$162")</f>
        <v>5</v>
      </c>
      <c r="G161" s="134" t="s">
        <v>318</v>
      </c>
      <c r="H161" s="134">
        <f ca="1">[1]!IQR(D141:D161,FALSE)</f>
        <v>1</v>
      </c>
      <c r="M161" s="134" t="s">
        <v>318</v>
      </c>
      <c r="N161" s="134">
        <f ca="1">[1]!IQR(E141:E161,FALSE)</f>
        <v>0</v>
      </c>
    </row>
    <row r="166" spans="3:31" x14ac:dyDescent="0.3">
      <c r="C166" s="2"/>
      <c r="D166" s="59" t="s">
        <v>196</v>
      </c>
      <c r="E166" s="2"/>
    </row>
    <row r="167" spans="3:31" x14ac:dyDescent="0.3">
      <c r="C167" s="2"/>
      <c r="D167" s="2"/>
      <c r="E167" s="2"/>
    </row>
    <row r="168" spans="3:31" x14ac:dyDescent="0.3">
      <c r="C168" s="2" t="s">
        <v>285</v>
      </c>
      <c r="D168" s="37" cm="1">
        <f t="array" aca="1" ref="D168" ca="1">INDIRECT("'" &amp; C168 &amp; "'!$E$163")</f>
        <v>2</v>
      </c>
      <c r="E168" s="37" cm="1">
        <f t="array" aca="1" ref="E168" ca="1">INDIRECT("'" &amp; C168 &amp; "'!$F$164")</f>
        <v>2</v>
      </c>
      <c r="G168" t="s">
        <v>300</v>
      </c>
      <c r="J168" t="s">
        <v>331</v>
      </c>
      <c r="M168" t="s">
        <v>300</v>
      </c>
      <c r="P168" t="s">
        <v>331</v>
      </c>
      <c r="S168" t="s">
        <v>338</v>
      </c>
      <c r="AC168" t="s">
        <v>358</v>
      </c>
    </row>
    <row r="169" spans="3:31" x14ac:dyDescent="0.3">
      <c r="C169" s="2" t="s">
        <v>286</v>
      </c>
      <c r="D169" s="37" cm="1">
        <f t="array" aca="1" ref="D169" ca="1">INDIRECT("'" &amp; C169 &amp; "'!$E$163")</f>
        <v>1</v>
      </c>
      <c r="E169" s="37" cm="1">
        <f t="array" aca="1" ref="E169" ca="1">INDIRECT("'" &amp; C169 &amp; "'!$F$164")</f>
        <v>2</v>
      </c>
    </row>
    <row r="170" spans="3:31" ht="15" thickBot="1" x14ac:dyDescent="0.35">
      <c r="C170" s="2" t="s">
        <v>287</v>
      </c>
      <c r="D170" s="37" cm="1">
        <f t="array" aca="1" ref="D170" ca="1">INDIRECT("'" &amp; C170 &amp; "'!$E$163")</f>
        <v>1</v>
      </c>
      <c r="E170" s="37" cm="1">
        <f t="array" aca="1" ref="E170" ca="1">INDIRECT("'" &amp; C170 &amp; "'!$F$164")</f>
        <v>5</v>
      </c>
      <c r="G170" s="92"/>
      <c r="H170" s="92" t="s">
        <v>379</v>
      </c>
      <c r="J170" s="92"/>
      <c r="K170" s="92" t="s">
        <v>379</v>
      </c>
      <c r="M170" s="92"/>
      <c r="N170" s="92" t="s">
        <v>379</v>
      </c>
      <c r="P170" s="92"/>
      <c r="Q170" s="92" t="s">
        <v>379</v>
      </c>
      <c r="S170" t="s">
        <v>339</v>
      </c>
      <c r="V170" t="s">
        <v>340</v>
      </c>
      <c r="W170">
        <v>0.05</v>
      </c>
      <c r="Y170" t="s">
        <v>341</v>
      </c>
      <c r="Z170">
        <v>0</v>
      </c>
      <c r="AD170" t="s">
        <v>381</v>
      </c>
      <c r="AE170" t="s">
        <v>382</v>
      </c>
    </row>
    <row r="171" spans="3:31" ht="15" thickTop="1" x14ac:dyDescent="0.3">
      <c r="C171" s="2" t="s">
        <v>288</v>
      </c>
      <c r="D171" s="37" cm="1">
        <f t="array" aca="1" ref="D171" ca="1">INDIRECT("'" &amp; C171 &amp; "'!$E$163")</f>
        <v>1</v>
      </c>
      <c r="E171" s="37" cm="1">
        <f t="array" aca="1" ref="E171" ca="1">INDIRECT("'" &amp; C171 &amp; "'!$F$164")</f>
        <v>5</v>
      </c>
      <c r="G171" t="s">
        <v>301</v>
      </c>
      <c r="H171" s="65">
        <f ca="1">AVERAGE(D168:D188)</f>
        <v>1.2857142857142858</v>
      </c>
      <c r="J171" t="s">
        <v>332</v>
      </c>
      <c r="K171">
        <f ca="1">[1]!SHAPIRO(D168:D188)</f>
        <v>0.57042221589151632</v>
      </c>
      <c r="M171" t="s">
        <v>301</v>
      </c>
      <c r="N171" s="65">
        <f ca="1">AVERAGE(E168:E188)</f>
        <v>4.1428571428571432</v>
      </c>
      <c r="P171" t="s">
        <v>332</v>
      </c>
      <c r="Q171">
        <f ca="1">[1]!SHAPIRO(E168:E188)</f>
        <v>0.73771657454790507</v>
      </c>
      <c r="S171" s="101" t="s">
        <v>342</v>
      </c>
      <c r="T171" s="101" t="s">
        <v>313</v>
      </c>
      <c r="U171" s="101" t="s">
        <v>301</v>
      </c>
      <c r="V171" s="101" t="s">
        <v>343</v>
      </c>
      <c r="W171" s="101" t="s">
        <v>344</v>
      </c>
      <c r="X171" s="101" t="s">
        <v>345</v>
      </c>
      <c r="Y171" s="101" t="s">
        <v>346</v>
      </c>
      <c r="Z171" s="101" t="s">
        <v>347</v>
      </c>
      <c r="AA171" s="101" t="s">
        <v>348</v>
      </c>
      <c r="AC171" t="s">
        <v>359</v>
      </c>
      <c r="AD171" s="115">
        <f ca="1">MEDIAN(D168:D188)</f>
        <v>1</v>
      </c>
      <c r="AE171" s="116">
        <f ca="1">MEDIAN(E168:E188)</f>
        <v>5</v>
      </c>
    </row>
    <row r="172" spans="3:31" x14ac:dyDescent="0.3">
      <c r="C172" s="2" t="s">
        <v>289</v>
      </c>
      <c r="D172" s="37" cm="1">
        <f t="array" aca="1" ref="D172" ca="1">INDIRECT("'" &amp; C172 &amp; "'!$E$163")</f>
        <v>1</v>
      </c>
      <c r="E172" s="37" cm="1">
        <f t="array" aca="1" ref="E172" ca="1">INDIRECT("'" &amp; C172 &amp; "'!$F$164")</f>
        <v>5</v>
      </c>
      <c r="G172" t="s">
        <v>302</v>
      </c>
      <c r="H172">
        <f ca="1">_xlfn.STDEV.S(D168:D188)/SQRT(COUNT(D168:D188))</f>
        <v>0.10101525445522107</v>
      </c>
      <c r="J172" t="s">
        <v>333</v>
      </c>
      <c r="K172">
        <f ca="1">[1]!SWTEST(D168:D188)</f>
        <v>9.73495230871535E-7</v>
      </c>
      <c r="M172" t="s">
        <v>302</v>
      </c>
      <c r="N172">
        <f ca="1">_xlfn.STDEV.S(E168:E188)/SQRT(COUNT(E168:E188))</f>
        <v>0.26082026547865045</v>
      </c>
      <c r="P172" t="s">
        <v>333</v>
      </c>
      <c r="Q172">
        <f ca="1">[1]!SWTEST(E168:E188)</f>
        <v>8.4480292029120996E-5</v>
      </c>
      <c r="S172" t="s">
        <v>379</v>
      </c>
      <c r="T172">
        <f ca="1">COUNT(D168:D188)</f>
        <v>21</v>
      </c>
      <c r="U172" s="65">
        <f ca="1">AVERAGE(D168:D188)</f>
        <v>1.2857142857142858</v>
      </c>
      <c r="V172">
        <f ca="1">_xlfn.STDEV.S(D168:D188)</f>
        <v>0.46291004988627571</v>
      </c>
    </row>
    <row r="173" spans="3:31" x14ac:dyDescent="0.3">
      <c r="C173" s="2" t="s">
        <v>290</v>
      </c>
      <c r="D173" s="37" cm="1">
        <f t="array" aca="1" ref="D173" ca="1">INDIRECT("'" &amp; C173 &amp; "'!$E$163")</f>
        <v>2</v>
      </c>
      <c r="E173" s="37" cm="1">
        <f t="array" aca="1" ref="E173" ca="1">INDIRECT("'" &amp; C173 &amp; "'!$F$164")</f>
        <v>5</v>
      </c>
      <c r="G173" t="s">
        <v>303</v>
      </c>
      <c r="H173" s="65">
        <f ca="1">MEDIAN(D168:D188)</f>
        <v>1</v>
      </c>
      <c r="J173" t="s">
        <v>334</v>
      </c>
      <c r="K173">
        <v>0.05</v>
      </c>
      <c r="M173" t="s">
        <v>303</v>
      </c>
      <c r="N173" s="65">
        <f ca="1">MEDIAN(E168:E188)</f>
        <v>5</v>
      </c>
      <c r="P173" t="s">
        <v>334</v>
      </c>
      <c r="Q173">
        <v>0.05</v>
      </c>
      <c r="S173" t="s">
        <v>380</v>
      </c>
      <c r="T173">
        <f ca="1">COUNT(E168:E188)</f>
        <v>21</v>
      </c>
      <c r="U173" s="65">
        <f ca="1">AVERAGE(E168:E188)</f>
        <v>4.1428571428571432</v>
      </c>
      <c r="V173">
        <f ca="1">_xlfn.STDEV.S(E168:E188)</f>
        <v>1.1952286093343933</v>
      </c>
      <c r="AC173" t="s">
        <v>360</v>
      </c>
      <c r="AD173" s="117">
        <f ca="1">SUMPRODUCT(--ISNUMBER(D168:D188),--ISNUMBER(E168:E188))</f>
        <v>21</v>
      </c>
    </row>
    <row r="174" spans="3:31" x14ac:dyDescent="0.3">
      <c r="C174" s="2" t="s">
        <v>291</v>
      </c>
      <c r="D174" s="37" cm="1">
        <f t="array" aca="1" ref="D174" ca="1">INDIRECT("'" &amp; C174 &amp; "'!$E$163")</f>
        <v>1</v>
      </c>
      <c r="E174" s="37" cm="1">
        <f t="array" aca="1" ref="E174" ca="1">INDIRECT("'" &amp; C174 &amp; "'!$F$164")</f>
        <v>5</v>
      </c>
      <c r="G174" t="s">
        <v>304</v>
      </c>
      <c r="H174">
        <f ca="1">MODE(D168:D188)</f>
        <v>1</v>
      </c>
      <c r="J174" s="112" t="s">
        <v>335</v>
      </c>
      <c r="K174" s="113" t="str">
        <f ca="1">IF(K172&lt;K173,"no","yes")</f>
        <v>no</v>
      </c>
      <c r="M174" t="s">
        <v>304</v>
      </c>
      <c r="N174">
        <f ca="1">MODE(E168:E188)</f>
        <v>5</v>
      </c>
      <c r="P174" s="112" t="s">
        <v>335</v>
      </c>
      <c r="Q174" s="113" t="str">
        <f ca="1">IF(Q172&lt;Q173,"no","yes")</f>
        <v>no</v>
      </c>
      <c r="S174" s="94" t="s">
        <v>349</v>
      </c>
      <c r="T174" s="94">
        <f ca="1">T173</f>
        <v>21</v>
      </c>
      <c r="U174" s="114">
        <f ca="1">U172-U173</f>
        <v>-2.8571428571428577</v>
      </c>
      <c r="V174" s="94">
        <f t="array" aca="1" ref="V174" ca="1">_xlfn.STDEV.S(D168:D188-E168:E188)</f>
        <v>1.2761549390929885</v>
      </c>
      <c r="W174" s="94">
        <f ca="1">V174/SQRT(T174)</f>
        <v>0.2784798384231133</v>
      </c>
      <c r="X174" s="94">
        <f ca="1">(U172-U173-Z170)/W174</f>
        <v>-10.25978352085154</v>
      </c>
      <c r="Y174" s="94">
        <f ca="1">T174-1</f>
        <v>20</v>
      </c>
      <c r="Z174" s="94">
        <f ca="1">ABS(U172-U173-Z170)/V174</f>
        <v>2.2388683141982249</v>
      </c>
      <c r="AA174" s="94">
        <f ca="1">SQRT(X174^2/(X174^2+Y174))</f>
        <v>0.91669849702821127</v>
      </c>
      <c r="AC174" t="s">
        <v>361</v>
      </c>
      <c r="AD174" s="74">
        <f ca="1">SUMPRODUCT(--ISNUMBER(D168:D188),--ISNUMBER(E168:E188),--(D168:D188&lt;&gt;E168:E188))</f>
        <v>19</v>
      </c>
    </row>
    <row r="175" spans="3:31" x14ac:dyDescent="0.3">
      <c r="C175" s="2" t="s">
        <v>292</v>
      </c>
      <c r="D175" s="37" cm="1">
        <f t="array" aca="1" ref="D175" ca="1">INDIRECT("'" &amp; C175 &amp; "'!$E$163")</f>
        <v>1</v>
      </c>
      <c r="E175" s="37" cm="1">
        <f t="array" aca="1" ref="E175" ca="1">INDIRECT("'" &amp; C175 &amp; "'!$F$164")</f>
        <v>5</v>
      </c>
      <c r="G175" t="s">
        <v>305</v>
      </c>
      <c r="H175">
        <f ca="1">_xlfn.STDEV.S(D168:D188)</f>
        <v>0.46291004988627571</v>
      </c>
      <c r="M175" t="s">
        <v>305</v>
      </c>
      <c r="N175">
        <f ca="1">_xlfn.STDEV.S(E168:E188)</f>
        <v>1.1952286093343933</v>
      </c>
      <c r="AC175" t="s">
        <v>362</v>
      </c>
      <c r="AD175" s="74">
        <f ca="1">IF(AD177&lt;=AD180,AD177,AD174*(AD174+1)/2)</f>
        <v>0</v>
      </c>
    </row>
    <row r="176" spans="3:31" ht="15" thickBot="1" x14ac:dyDescent="0.35">
      <c r="C176" s="2" t="s">
        <v>293</v>
      </c>
      <c r="D176" s="37" cm="1">
        <f t="array" aca="1" ref="D176" ca="1">INDIRECT("'" &amp; C176 &amp; "'!$E$163")</f>
        <v>1</v>
      </c>
      <c r="E176" s="37" cm="1">
        <f t="array" aca="1" ref="E176" ca="1">INDIRECT("'" &amp; C176 &amp; "'!$F$164")</f>
        <v>5</v>
      </c>
      <c r="G176" t="s">
        <v>306</v>
      </c>
      <c r="H176">
        <f ca="1">_xlfn.VAR.S(D168:D188)</f>
        <v>0.21428571428571425</v>
      </c>
      <c r="J176" t="s">
        <v>336</v>
      </c>
      <c r="M176" t="s">
        <v>306</v>
      </c>
      <c r="N176">
        <f ca="1">_xlfn.VAR.S(E168:E188)</f>
        <v>1.4285714285714277</v>
      </c>
      <c r="P176" t="s">
        <v>336</v>
      </c>
      <c r="S176" t="s">
        <v>350</v>
      </c>
      <c r="AC176" t="s">
        <v>363</v>
      </c>
      <c r="AD176" s="74">
        <f ca="1">AD174*(AD174+1)/2-AD175</f>
        <v>190</v>
      </c>
    </row>
    <row r="177" spans="3:31" ht="15" thickTop="1" x14ac:dyDescent="0.3">
      <c r="C177" s="2" t="s">
        <v>294</v>
      </c>
      <c r="D177" s="37" cm="1">
        <f t="array" aca="1" ref="D177" ca="1">INDIRECT("'" &amp; C177 &amp; "'!$E$163")</f>
        <v>1</v>
      </c>
      <c r="E177" s="37" cm="1">
        <f t="array" aca="1" ref="E177" ca="1">INDIRECT("'" &amp; C177 &amp; "'!$F$164")</f>
        <v>4</v>
      </c>
      <c r="G177" t="s">
        <v>307</v>
      </c>
      <c r="H177">
        <f ca="1">KURT(D168:D188)</f>
        <v>-1.0643274853801188</v>
      </c>
      <c r="M177" t="s">
        <v>307</v>
      </c>
      <c r="N177">
        <f ca="1">KURT(E168:E188)</f>
        <v>1.3690526315789442</v>
      </c>
      <c r="S177" s="101" t="s">
        <v>351</v>
      </c>
      <c r="T177" s="101" t="s">
        <v>333</v>
      </c>
      <c r="U177" s="101" t="s">
        <v>352</v>
      </c>
      <c r="V177" s="101" t="s">
        <v>353</v>
      </c>
      <c r="W177" s="101" t="s">
        <v>354</v>
      </c>
      <c r="X177" s="101" t="s">
        <v>355</v>
      </c>
      <c r="AC177" t="s">
        <v>364</v>
      </c>
      <c r="AD177" s="75">
        <f ca="1">[1]!SRANK(D168:D188,E168:E188)</f>
        <v>0</v>
      </c>
    </row>
    <row r="178" spans="3:31" x14ac:dyDescent="0.3">
      <c r="C178" s="2" t="s">
        <v>295</v>
      </c>
      <c r="D178" s="37" cm="1">
        <f t="array" aca="1" ref="D178" ca="1">INDIRECT("'" &amp; C178 &amp; "'!$E$163")</f>
        <v>1</v>
      </c>
      <c r="E178" s="37" cm="1">
        <f t="array" aca="1" ref="E178" ca="1">INDIRECT("'" &amp; C178 &amp; "'!$F$164")</f>
        <v>4</v>
      </c>
      <c r="G178" t="s">
        <v>308</v>
      </c>
      <c r="H178">
        <f ca="1">SKEW(D168:D188)</f>
        <v>1.0232748471170294</v>
      </c>
      <c r="J178" s="94" t="s">
        <v>337</v>
      </c>
      <c r="K178" s="94">
        <f ca="1">[1]!DAGOSTINO(D168:D188)</f>
        <v>6.1070907558640455</v>
      </c>
      <c r="M178" t="s">
        <v>308</v>
      </c>
      <c r="N178">
        <f ca="1">SKEW(E168:E188)</f>
        <v>-1.4663567833465641</v>
      </c>
      <c r="P178" s="130" t="s">
        <v>337</v>
      </c>
      <c r="Q178" s="130">
        <f ca="1">[1]!DAGOSTINO(E168:E188)</f>
        <v>9.1953006664561876</v>
      </c>
      <c r="S178" t="s">
        <v>356</v>
      </c>
      <c r="T178">
        <f ca="1">_xlfn.T.DIST.RT(ABS(X174),Y174)</f>
        <v>1.0259547693997286E-9</v>
      </c>
      <c r="U178">
        <f ca="1">_xlfn.T.INV.2T(W170*2,Y174)</f>
        <v>1.7247182429207868</v>
      </c>
      <c r="X178" s="70" t="str">
        <f ca="1">IF(T178&lt;W170,"yes","no")</f>
        <v>yes</v>
      </c>
    </row>
    <row r="179" spans="3:31" x14ac:dyDescent="0.3">
      <c r="C179" s="2" t="s">
        <v>296</v>
      </c>
      <c r="D179" s="37" cm="1">
        <f t="array" aca="1" ref="D179" ca="1">INDIRECT("'" &amp; C179 &amp; "'!$E$163")</f>
        <v>1</v>
      </c>
      <c r="E179" s="37" cm="1">
        <f t="array" aca="1" ref="E179" ca="1">INDIRECT("'" &amp; C179 &amp; "'!$F$164")</f>
        <v>4</v>
      </c>
      <c r="G179" t="s">
        <v>309</v>
      </c>
      <c r="H179">
        <f ca="1">H180-H181</f>
        <v>1</v>
      </c>
      <c r="J179" t="s">
        <v>333</v>
      </c>
      <c r="K179">
        <f ca="1">[1]!DPTEST(D168:D188)</f>
        <v>4.7191316398125238E-2</v>
      </c>
      <c r="M179" t="s">
        <v>309</v>
      </c>
      <c r="N179">
        <f ca="1">N180-N181</f>
        <v>4</v>
      </c>
      <c r="P179" t="s">
        <v>333</v>
      </c>
      <c r="Q179">
        <f ca="1">[1]!DPTEST(E168:E188)</f>
        <v>1.0075481978585432E-2</v>
      </c>
      <c r="S179" t="s">
        <v>357</v>
      </c>
      <c r="T179">
        <f ca="1">_xlfn.T.DIST.2T(ABS(X174),Y174)</f>
        <v>2.0519095387994572E-9</v>
      </c>
      <c r="U179">
        <f ca="1">_xlfn.T.INV.2T(W170,Y174)</f>
        <v>2.0859634472658648</v>
      </c>
      <c r="V179">
        <f ca="1">(U172-U173)-W174*U179</f>
        <v>-3.4380416208939764</v>
      </c>
      <c r="W179">
        <f ca="1">(U172-U173)+W174*U179</f>
        <v>-2.2762440933917389</v>
      </c>
      <c r="X179" s="70" t="str">
        <f ca="1">IF(T179&lt;W170,"yes","no")</f>
        <v>yes</v>
      </c>
      <c r="AD179" s="70" t="s">
        <v>365</v>
      </c>
      <c r="AE179" s="70" t="s">
        <v>366</v>
      </c>
    </row>
    <row r="180" spans="3:31" x14ac:dyDescent="0.3">
      <c r="C180" s="2" t="s">
        <v>297</v>
      </c>
      <c r="D180" s="37" cm="1">
        <f t="array" aca="1" ref="D180" ca="1">INDIRECT("'" &amp; C180 &amp; "'!$E$163")</f>
        <v>1</v>
      </c>
      <c r="E180" s="37" cm="1">
        <f t="array" aca="1" ref="E180" ca="1">INDIRECT("'" &amp; C180 &amp; "'!$F$164")</f>
        <v>4</v>
      </c>
      <c r="G180" t="s">
        <v>310</v>
      </c>
      <c r="H180" s="65">
        <f ca="1">MAX(D168:D188)</f>
        <v>2</v>
      </c>
      <c r="J180" t="s">
        <v>334</v>
      </c>
      <c r="K180">
        <v>0.05</v>
      </c>
      <c r="M180" t="s">
        <v>310</v>
      </c>
      <c r="N180" s="65">
        <f ca="1">MAX(E168:E188)</f>
        <v>5</v>
      </c>
      <c r="P180" t="s">
        <v>334</v>
      </c>
      <c r="Q180">
        <v>0.05</v>
      </c>
      <c r="S180" s="94"/>
      <c r="T180" s="94"/>
      <c r="U180" s="94"/>
      <c r="V180" s="94"/>
      <c r="W180" s="94"/>
      <c r="X180" s="94"/>
      <c r="AC180" t="s">
        <v>367</v>
      </c>
      <c r="AD180" s="117">
        <f ca="1">AD174*(AD174+1)/4</f>
        <v>95</v>
      </c>
    </row>
    <row r="181" spans="3:31" x14ac:dyDescent="0.3">
      <c r="C181" s="2" t="s">
        <v>298</v>
      </c>
      <c r="D181" s="37" cm="1">
        <f t="array" aca="1" ref="D181" ca="1">INDIRECT("'" &amp; C181 &amp; "'!$E$163")</f>
        <v>1</v>
      </c>
      <c r="E181" s="37" cm="1">
        <f t="array" aca="1" ref="E181" ca="1">INDIRECT("'" &amp; C181 &amp; "'!$F$164")</f>
        <v>5</v>
      </c>
      <c r="G181" t="s">
        <v>311</v>
      </c>
      <c r="H181" s="65">
        <f ca="1">MIN(D168:D188)</f>
        <v>1</v>
      </c>
      <c r="J181" s="112" t="s">
        <v>335</v>
      </c>
      <c r="K181" s="113" t="str">
        <f ca="1">IF(K179&lt;K180,"no","yes")</f>
        <v>no</v>
      </c>
      <c r="M181" t="s">
        <v>311</v>
      </c>
      <c r="N181" s="65">
        <f ca="1">MIN(E168:E188)</f>
        <v>1</v>
      </c>
      <c r="P181" s="112" t="s">
        <v>335</v>
      </c>
      <c r="Q181" s="113" t="str">
        <f ca="1">IF(Q179&lt;Q180,"no","yes")</f>
        <v>no</v>
      </c>
      <c r="AC181" t="s">
        <v>368</v>
      </c>
      <c r="AD181" s="74">
        <f ca="1">SQRT(AD180*(2*AD174+1)/6-[1]!TiesCorrection(D168:D188,E168:E188,1)/48)</f>
        <v>24.484689093390589</v>
      </c>
      <c r="AE181" t="s">
        <v>369</v>
      </c>
    </row>
    <row r="182" spans="3:31" x14ac:dyDescent="0.3">
      <c r="C182" s="2" t="s">
        <v>299</v>
      </c>
      <c r="D182" s="37" cm="1">
        <f t="array" aca="1" ref="D182" ca="1">INDIRECT("'" &amp; C182 &amp; "'!$E$163")</f>
        <v>2</v>
      </c>
      <c r="E182" s="37" cm="1">
        <f t="array" aca="1" ref="E182" ca="1">INDIRECT("'" &amp; C182 &amp; "'!$F$164")</f>
        <v>4</v>
      </c>
      <c r="G182" t="s">
        <v>312</v>
      </c>
      <c r="H182" s="65">
        <f ca="1">SUM(D168:D188)</f>
        <v>27</v>
      </c>
      <c r="M182" t="s">
        <v>312</v>
      </c>
      <c r="N182" s="65">
        <f ca="1">SUM(E168:E188)</f>
        <v>87</v>
      </c>
      <c r="AC182" t="s">
        <v>370</v>
      </c>
      <c r="AD182" s="74">
        <f ca="1">ABS(ABS(AD177-AD180)-1/2)/AD181</f>
        <v>3.8595548278989331</v>
      </c>
      <c r="AE182" t="s">
        <v>371</v>
      </c>
    </row>
    <row r="183" spans="3:31" x14ac:dyDescent="0.3">
      <c r="C183" s="2" t="s">
        <v>395</v>
      </c>
      <c r="D183" s="37" cm="1">
        <f t="array" aca="1" ref="D183" ca="1">INDIRECT("'" &amp; C183 &amp; "'!$E$163")</f>
        <v>2</v>
      </c>
      <c r="E183" s="37" cm="1">
        <f t="array" aca="1" ref="E183" ca="1">INDIRECT("'" &amp; C183 &amp; "'!$F$164")</f>
        <v>5</v>
      </c>
      <c r="G183" t="s">
        <v>313</v>
      </c>
      <c r="H183">
        <f ca="1">COUNT(D168:D188)</f>
        <v>21</v>
      </c>
      <c r="M183" t="s">
        <v>313</v>
      </c>
      <c r="N183">
        <f ca="1">COUNT(E168:E188)</f>
        <v>21</v>
      </c>
      <c r="AC183" t="s">
        <v>372</v>
      </c>
      <c r="AD183" s="74">
        <f ca="1">AD182/SQRT(AD174)</f>
        <v>0.88544260325610336</v>
      </c>
    </row>
    <row r="184" spans="3:31" x14ac:dyDescent="0.3">
      <c r="C184" s="2" t="s">
        <v>396</v>
      </c>
      <c r="D184" s="37" cm="1">
        <f t="array" aca="1" ref="D184" ca="1">INDIRECT("'" &amp; C184 &amp; "'!$E$163")</f>
        <v>1</v>
      </c>
      <c r="E184" s="37" cm="1">
        <f t="array" aca="1" ref="E184" ca="1">INDIRECT("'" &amp; C184 &amp; "'!$F$164")</f>
        <v>5</v>
      </c>
      <c r="G184" t="s">
        <v>314</v>
      </c>
      <c r="H184">
        <f ca="1">GEOMEAN(D168:D188)</f>
        <v>1.2190136542044754</v>
      </c>
      <c r="M184" t="s">
        <v>314</v>
      </c>
      <c r="N184">
        <f ca="1">GEOMEAN(E168:E188)</f>
        <v>3.8862780408892852</v>
      </c>
      <c r="AC184" t="s">
        <v>373</v>
      </c>
      <c r="AD184" s="117">
        <f ca="1">1-_xlfn.NORM.S.DIST(AD182,TRUE)</f>
        <v>5.679688482751466E-5</v>
      </c>
      <c r="AE184" s="118">
        <f ca="1">2*AD184</f>
        <v>1.1359376965502932E-4</v>
      </c>
    </row>
    <row r="185" spans="3:31" x14ac:dyDescent="0.3">
      <c r="C185" s="2" t="s">
        <v>397</v>
      </c>
      <c r="D185" s="37" cm="1">
        <f t="array" aca="1" ref="D185" ca="1">INDIRECT("'" &amp; C185 &amp; "'!$E$163")</f>
        <v>2</v>
      </c>
      <c r="E185" s="37" cm="1">
        <f t="array" aca="1" ref="E185" ca="1">INDIRECT("'" &amp; C185 &amp; "'!$F$164")</f>
        <v>5</v>
      </c>
      <c r="G185" t="s">
        <v>315</v>
      </c>
      <c r="H185">
        <f ca="1">HARMEAN(D168:D188)</f>
        <v>1.1666666666666667</v>
      </c>
      <c r="M185" t="s">
        <v>315</v>
      </c>
      <c r="N185">
        <f ca="1">HARMEAN(E168:E188)</f>
        <v>3.4806629834254146</v>
      </c>
      <c r="AC185" t="s">
        <v>374</v>
      </c>
      <c r="AD185" s="74">
        <f ca="1">[1]!SRDIST(AD177,AD174,1)</f>
        <v>1.9073486328125E-6</v>
      </c>
      <c r="AE185" s="77">
        <f ca="1">2*AD185</f>
        <v>3.814697265625E-6</v>
      </c>
    </row>
    <row r="186" spans="3:31" x14ac:dyDescent="0.3">
      <c r="C186" s="2" t="s">
        <v>398</v>
      </c>
      <c r="D186" s="37" cm="1">
        <f t="array" aca="1" ref="D186" ca="1">INDIRECT("'" &amp; C186 &amp; "'!$E$163")</f>
        <v>2</v>
      </c>
      <c r="E186" s="37" cm="1">
        <f t="array" aca="1" ref="E186" ca="1">INDIRECT("'" &amp; C186 &amp; "'!$F$164")</f>
        <v>4</v>
      </c>
      <c r="G186" t="s">
        <v>316</v>
      </c>
      <c r="H186">
        <f ca="1">AVEDEV(D168:D188)</f>
        <v>0.40816326530612251</v>
      </c>
      <c r="M186" t="s">
        <v>316</v>
      </c>
      <c r="N186">
        <f ca="1">AVEDEV(E168:E188)</f>
        <v>0.89795918367346927</v>
      </c>
      <c r="AC186" t="s">
        <v>375</v>
      </c>
      <c r="AD186" s="75" t="s">
        <v>376</v>
      </c>
      <c r="AE186" s="78" t="s">
        <v>376</v>
      </c>
    </row>
    <row r="187" spans="3:31" x14ac:dyDescent="0.3">
      <c r="C187" s="2" t="s">
        <v>399</v>
      </c>
      <c r="D187" s="37" cm="1">
        <f t="array" aca="1" ref="D187" ca="1">INDIRECT("'" &amp; C187 &amp; "'!$E$163")</f>
        <v>1</v>
      </c>
      <c r="E187" s="37" cm="1">
        <f t="array" aca="1" ref="E187" ca="1">INDIRECT("'" &amp; C187 &amp; "'!$F$164")</f>
        <v>1</v>
      </c>
      <c r="G187" t="s">
        <v>317</v>
      </c>
      <c r="H187">
        <f ca="1">[1]!MAD(D168:D188)</f>
        <v>0</v>
      </c>
      <c r="M187" t="s">
        <v>317</v>
      </c>
      <c r="N187">
        <f ca="1">[1]!MAD(E168:E188)</f>
        <v>0</v>
      </c>
    </row>
    <row r="188" spans="3:31" x14ac:dyDescent="0.3">
      <c r="C188" s="2" t="s">
        <v>400</v>
      </c>
      <c r="D188" s="37" cm="1">
        <f t="array" aca="1" ref="D188" ca="1">INDIRECT("'" &amp; C188 &amp; "'!$E$163")</f>
        <v>1</v>
      </c>
      <c r="E188" s="37" cm="1">
        <f t="array" aca="1" ref="E188" ca="1">INDIRECT("'" &amp; C188 &amp; "'!$F$164")</f>
        <v>3</v>
      </c>
      <c r="G188" s="112" t="s">
        <v>318</v>
      </c>
      <c r="H188" s="112">
        <f ca="1">[1]!IQR(D168:D188,FALSE)</f>
        <v>1</v>
      </c>
      <c r="M188" s="112" t="s">
        <v>318</v>
      </c>
      <c r="N188" s="112">
        <f ca="1">[1]!IQR(E168:E188,FALSE)</f>
        <v>1</v>
      </c>
    </row>
    <row r="192" spans="3:31" x14ac:dyDescent="0.3">
      <c r="G192" t="s">
        <v>300</v>
      </c>
      <c r="J192" t="s">
        <v>331</v>
      </c>
      <c r="M192" t="s">
        <v>300</v>
      </c>
      <c r="P192" t="s">
        <v>331</v>
      </c>
      <c r="S192" t="s">
        <v>338</v>
      </c>
      <c r="AC192" t="s">
        <v>358</v>
      </c>
    </row>
    <row r="193" spans="3:31" x14ac:dyDescent="0.3">
      <c r="C193" s="2"/>
      <c r="D193" s="59" t="s">
        <v>198</v>
      </c>
      <c r="E193" s="2"/>
      <c r="G193" s="79"/>
      <c r="H193" s="79"/>
    </row>
    <row r="194" spans="3:31" ht="15" thickBot="1" x14ac:dyDescent="0.35">
      <c r="C194" s="2"/>
      <c r="D194" s="2"/>
      <c r="E194" s="2"/>
      <c r="G194" s="64"/>
      <c r="H194" s="64" t="s">
        <v>379</v>
      </c>
      <c r="J194" s="64"/>
      <c r="K194" s="64" t="s">
        <v>379</v>
      </c>
      <c r="L194" s="79"/>
      <c r="M194" s="64"/>
      <c r="N194" s="64" t="s">
        <v>379</v>
      </c>
      <c r="O194" s="79"/>
      <c r="P194" s="64"/>
      <c r="Q194" s="64" t="s">
        <v>379</v>
      </c>
      <c r="R194" s="79"/>
      <c r="S194" s="79" t="s">
        <v>339</v>
      </c>
      <c r="V194" s="65" t="s">
        <v>340</v>
      </c>
      <c r="W194" s="65">
        <v>0.05</v>
      </c>
      <c r="Y194" t="s">
        <v>341</v>
      </c>
      <c r="Z194">
        <v>0</v>
      </c>
      <c r="AD194" t="s">
        <v>381</v>
      </c>
      <c r="AE194" t="s">
        <v>382</v>
      </c>
    </row>
    <row r="195" spans="3:31" ht="15" thickTop="1" x14ac:dyDescent="0.3">
      <c r="C195" s="2" t="s">
        <v>285</v>
      </c>
      <c r="D195" s="37" cm="1">
        <f t="array" aca="1" ref="D195" ca="1">INDIRECT("'" &amp; C195 &amp; "'!$E$165")</f>
        <v>2</v>
      </c>
      <c r="E195" s="37" cm="1">
        <f t="array" aca="1" ref="E195" ca="1">INDIRECT("'" &amp; C195 &amp; "'!$F$164")</f>
        <v>2</v>
      </c>
      <c r="G195" t="s">
        <v>301</v>
      </c>
      <c r="H195" s="65">
        <f ca="1">AVERAGE(D195:D215)</f>
        <v>1.5714285714285714</v>
      </c>
      <c r="J195" t="s">
        <v>332</v>
      </c>
      <c r="K195">
        <f ca="1">[1]!SHAPIRO(D195:D215)</f>
        <v>0.62926581179343322</v>
      </c>
      <c r="M195" s="65" t="s">
        <v>301</v>
      </c>
      <c r="N195" s="65">
        <f ca="1">AVERAGE(E195:E215)</f>
        <v>4.1428571428571432</v>
      </c>
      <c r="P195" t="s">
        <v>332</v>
      </c>
      <c r="Q195">
        <f ca="1">[1]!SHAPIRO(E195:E215)</f>
        <v>0.73771657454790507</v>
      </c>
      <c r="S195" s="68" t="s">
        <v>342</v>
      </c>
      <c r="T195" s="68" t="s">
        <v>313</v>
      </c>
      <c r="U195" s="68" t="s">
        <v>301</v>
      </c>
      <c r="V195" s="68" t="s">
        <v>343</v>
      </c>
      <c r="W195" s="68" t="s">
        <v>344</v>
      </c>
      <c r="X195" s="68" t="s">
        <v>345</v>
      </c>
      <c r="Y195" s="68" t="s">
        <v>346</v>
      </c>
      <c r="Z195" s="68" t="s">
        <v>347</v>
      </c>
      <c r="AA195" s="68" t="s">
        <v>348</v>
      </c>
      <c r="AC195" t="s">
        <v>359</v>
      </c>
      <c r="AD195" s="102">
        <f ca="1">MEDIAN(D195:D215)</f>
        <v>1</v>
      </c>
      <c r="AE195" s="103">
        <f ca="1">MEDIAN(E195:E215)</f>
        <v>5</v>
      </c>
    </row>
    <row r="196" spans="3:31" x14ac:dyDescent="0.3">
      <c r="C196" s="2" t="s">
        <v>286</v>
      </c>
      <c r="D196" s="37" cm="1">
        <f t="array" aca="1" ref="D196" ca="1">INDIRECT("'" &amp; C196 &amp; "'!$E$165")</f>
        <v>1</v>
      </c>
      <c r="E196" s="37" cm="1">
        <f t="array" aca="1" ref="E196" ca="1">INDIRECT("'" &amp; C196 &amp; "'!$F$164")</f>
        <v>2</v>
      </c>
      <c r="G196" t="s">
        <v>302</v>
      </c>
      <c r="H196">
        <f ca="1">_xlfn.STDEV.S(D195:D215)/SQRT(COUNT(D195:D215))</f>
        <v>0.21349058829961806</v>
      </c>
      <c r="J196" t="s">
        <v>333</v>
      </c>
      <c r="K196">
        <f ca="1">[1]!SWTEST(D195:D215)</f>
        <v>4.0784608087429675E-6</v>
      </c>
      <c r="M196" s="65" t="s">
        <v>302</v>
      </c>
      <c r="N196">
        <f ca="1">_xlfn.STDEV.S(E195:E215)/SQRT(COUNT(E195:E215))</f>
        <v>0.26082026547865045</v>
      </c>
      <c r="P196" t="s">
        <v>333</v>
      </c>
      <c r="Q196">
        <f ca="1">[1]!SWTEST(E195:E215)</f>
        <v>8.4480292029120996E-5</v>
      </c>
      <c r="S196" t="s">
        <v>379</v>
      </c>
      <c r="T196">
        <f ca="1">COUNT(D195:D215)</f>
        <v>21</v>
      </c>
      <c r="U196" s="65">
        <f ca="1">AVERAGE(D195:D215)</f>
        <v>1.5714285714285714</v>
      </c>
      <c r="V196">
        <f ca="1">_xlfn.STDEV.S(D195:D215)</f>
        <v>0.97833678104365329</v>
      </c>
    </row>
    <row r="197" spans="3:31" x14ac:dyDescent="0.3">
      <c r="C197" s="2" t="s">
        <v>287</v>
      </c>
      <c r="D197" s="37" cm="1">
        <f t="array" aca="1" ref="D197" ca="1">INDIRECT("'" &amp; C197 &amp; "'!$E$165")</f>
        <v>3</v>
      </c>
      <c r="E197" s="37" cm="1">
        <f t="array" aca="1" ref="E197" ca="1">INDIRECT("'" &amp; C197 &amp; "'!$F$164")</f>
        <v>5</v>
      </c>
      <c r="G197" t="s">
        <v>303</v>
      </c>
      <c r="H197" s="108">
        <f ca="1">MEDIAN(D195:D215)</f>
        <v>1</v>
      </c>
      <c r="J197" t="s">
        <v>334</v>
      </c>
      <c r="K197">
        <v>0.05</v>
      </c>
      <c r="M197" s="65" t="s">
        <v>303</v>
      </c>
      <c r="N197" s="65">
        <f ca="1">MEDIAN(E195:E215)</f>
        <v>5</v>
      </c>
      <c r="P197" t="s">
        <v>334</v>
      </c>
      <c r="Q197">
        <v>0.05</v>
      </c>
      <c r="S197" t="s">
        <v>380</v>
      </c>
      <c r="T197">
        <f ca="1">COUNT(E195:E215)</f>
        <v>21</v>
      </c>
      <c r="U197" s="65">
        <f ca="1">AVERAGE(E195:E215)</f>
        <v>4.1428571428571432</v>
      </c>
      <c r="V197">
        <f ca="1">_xlfn.STDEV.S(E195:E215)</f>
        <v>1.1952286093343933</v>
      </c>
      <c r="AC197" t="s">
        <v>360</v>
      </c>
      <c r="AD197" s="88">
        <f ca="1">SUMPRODUCT(--ISNUMBER(D195:D215),--ISNUMBER(E195:E215))</f>
        <v>21</v>
      </c>
    </row>
    <row r="198" spans="3:31" x14ac:dyDescent="0.3">
      <c r="C198" s="2" t="s">
        <v>288</v>
      </c>
      <c r="D198" s="37" cm="1">
        <f t="array" aca="1" ref="D198" ca="1">INDIRECT("'" &amp; C198 &amp; "'!$E$165")</f>
        <v>1</v>
      </c>
      <c r="E198" s="37" cm="1">
        <f t="array" aca="1" ref="E198" ca="1">INDIRECT("'" &amp; C198 &amp; "'!$F$164")</f>
        <v>5</v>
      </c>
      <c r="F198" s="65"/>
      <c r="G198" t="s">
        <v>304</v>
      </c>
      <c r="H198">
        <f ca="1">MODE(D195:D215)</f>
        <v>1</v>
      </c>
      <c r="J198" s="63" t="s">
        <v>335</v>
      </c>
      <c r="K198" s="66" t="str">
        <f ca="1">IF(K196&lt;K197,"no","yes")</f>
        <v>no</v>
      </c>
      <c r="M198" t="s">
        <v>304</v>
      </c>
      <c r="N198">
        <f ca="1">MODE(E195:E215)</f>
        <v>5</v>
      </c>
      <c r="P198" s="63" t="s">
        <v>335</v>
      </c>
      <c r="Q198" s="66" t="str">
        <f ca="1">IF(Q196&lt;Q197,"no","yes")</f>
        <v>no</v>
      </c>
      <c r="S198" s="85" t="s">
        <v>349</v>
      </c>
      <c r="T198" s="85">
        <f ca="1">T197</f>
        <v>21</v>
      </c>
      <c r="U198" s="100">
        <f ca="1">U196-U197</f>
        <v>-2.5714285714285721</v>
      </c>
      <c r="V198" s="85">
        <f t="array" aca="1" ref="V198" ca="1">_xlfn.STDEV.S(D195:D215-E195:E215)</f>
        <v>1.4342743312012722</v>
      </c>
      <c r="W198" s="85">
        <f ca="1">V198/SQRT(T198)</f>
        <v>0.31298431857438064</v>
      </c>
      <c r="X198" s="85">
        <f ca="1">(U196-U197-Z194)/W198</f>
        <v>-8.2158383625774931</v>
      </c>
      <c r="Y198" s="85">
        <f ca="1">T198-1</f>
        <v>20</v>
      </c>
      <c r="Z198" s="85">
        <f ca="1">ABS(U196-U197-Z194)/V198</f>
        <v>1.7928429140015911</v>
      </c>
      <c r="AA198" s="85">
        <f ca="1">SQRT(X198^2/(X198^2+Y198))</f>
        <v>0.87831006565367986</v>
      </c>
      <c r="AC198" t="s">
        <v>361</v>
      </c>
      <c r="AD198" s="74">
        <f ca="1">SUMPRODUCT(--ISNUMBER(D195:D215),--ISNUMBER(E195:E215),--(D195:D215&lt;&gt;E195:E215))</f>
        <v>18</v>
      </c>
    </row>
    <row r="199" spans="3:31" x14ac:dyDescent="0.3">
      <c r="C199" s="2" t="s">
        <v>289</v>
      </c>
      <c r="D199" s="37" cm="1">
        <f t="array" aca="1" ref="D199" ca="1">INDIRECT("'" &amp; C199 &amp; "'!$E$165")</f>
        <v>1</v>
      </c>
      <c r="E199" s="37" cm="1">
        <f t="array" aca="1" ref="E199" ca="1">INDIRECT("'" &amp; C199 &amp; "'!$F$164")</f>
        <v>5</v>
      </c>
      <c r="G199" t="s">
        <v>305</v>
      </c>
      <c r="H199">
        <f ca="1">_xlfn.STDEV.S(D195:D215)</f>
        <v>0.97833678104365329</v>
      </c>
      <c r="M199" t="s">
        <v>305</v>
      </c>
      <c r="N199">
        <f ca="1">_xlfn.STDEV.S(E195:E215)</f>
        <v>1.1952286093343933</v>
      </c>
      <c r="AC199" t="s">
        <v>362</v>
      </c>
      <c r="AD199" s="74">
        <f ca="1">IF(AD201&lt;=AD204,AD201,AD198*(AD198+1)/2)</f>
        <v>0</v>
      </c>
    </row>
    <row r="200" spans="3:31" ht="15" thickBot="1" x14ac:dyDescent="0.35">
      <c r="C200" s="2" t="s">
        <v>290</v>
      </c>
      <c r="D200" s="37" cm="1">
        <f t="array" aca="1" ref="D200" ca="1">INDIRECT("'" &amp; C200 &amp; "'!$E$165")</f>
        <v>1</v>
      </c>
      <c r="E200" s="37" cm="1">
        <f t="array" aca="1" ref="E200" ca="1">INDIRECT("'" &amp; C200 &amp; "'!$F$164")</f>
        <v>5</v>
      </c>
      <c r="G200" t="s">
        <v>306</v>
      </c>
      <c r="H200">
        <f ca="1">_xlfn.VAR.S(D195:D215)</f>
        <v>0.9571428571428573</v>
      </c>
      <c r="J200" t="s">
        <v>336</v>
      </c>
      <c r="K200" s="79"/>
      <c r="L200" s="79"/>
      <c r="M200" s="79" t="s">
        <v>306</v>
      </c>
      <c r="N200" s="79">
        <f ca="1">_xlfn.VAR.S(E195:E215)</f>
        <v>1.4285714285714277</v>
      </c>
      <c r="O200" s="79"/>
      <c r="P200" s="79" t="s">
        <v>336</v>
      </c>
      <c r="S200" t="s">
        <v>350</v>
      </c>
      <c r="AC200" t="s">
        <v>363</v>
      </c>
      <c r="AD200" s="74">
        <f ca="1">AD198*(AD198+1)/2-AD199</f>
        <v>171</v>
      </c>
    </row>
    <row r="201" spans="3:31" ht="15" thickTop="1" x14ac:dyDescent="0.3">
      <c r="C201" s="2" t="s">
        <v>291</v>
      </c>
      <c r="D201" s="37" cm="1">
        <f t="array" aca="1" ref="D201" ca="1">INDIRECT("'" &amp; C201 &amp; "'!$E$165")</f>
        <v>1</v>
      </c>
      <c r="E201" s="37" cm="1">
        <f t="array" aca="1" ref="E201" ca="1">INDIRECT("'" &amp; C201 &amp; "'!$F$164")</f>
        <v>5</v>
      </c>
      <c r="G201" t="s">
        <v>307</v>
      </c>
      <c r="H201">
        <f ca="1">KURT(D195:D215)</f>
        <v>7.1033286044248474</v>
      </c>
      <c r="M201" t="s">
        <v>307</v>
      </c>
      <c r="N201">
        <f ca="1">KURT(E195:E215)</f>
        <v>1.3690526315789442</v>
      </c>
      <c r="P201" s="70"/>
      <c r="S201" s="68" t="s">
        <v>351</v>
      </c>
      <c r="T201" s="68" t="s">
        <v>333</v>
      </c>
      <c r="U201" s="68" t="s">
        <v>352</v>
      </c>
      <c r="V201" s="68" t="s">
        <v>353</v>
      </c>
      <c r="W201" s="68" t="s">
        <v>354</v>
      </c>
      <c r="X201" s="68" t="s">
        <v>355</v>
      </c>
      <c r="AC201" t="s">
        <v>364</v>
      </c>
      <c r="AD201" s="75">
        <f ca="1">[1]!SRANK(D195:D215,E195:E215)</f>
        <v>0</v>
      </c>
    </row>
    <row r="202" spans="3:31" x14ac:dyDescent="0.3">
      <c r="C202" s="2" t="s">
        <v>292</v>
      </c>
      <c r="D202" s="37" cm="1">
        <f t="array" aca="1" ref="D202" ca="1">INDIRECT("'" &amp; C202 &amp; "'!$E$165")</f>
        <v>2</v>
      </c>
      <c r="E202" s="37" cm="1">
        <f t="array" aca="1" ref="E202" ca="1">INDIRECT("'" &amp; C202 &amp; "'!$F$164")</f>
        <v>5</v>
      </c>
      <c r="G202" t="s">
        <v>308</v>
      </c>
      <c r="H202">
        <f ca="1">SKEW(D195:D215)</f>
        <v>2.4353177003831354</v>
      </c>
      <c r="J202" s="85" t="s">
        <v>337</v>
      </c>
      <c r="K202" s="85">
        <f ca="1">[1]!DAGOSTINO(D195:D215)</f>
        <v>26.192017790413352</v>
      </c>
      <c r="M202" t="s">
        <v>308</v>
      </c>
      <c r="N202">
        <f ca="1">SKEW(E195:E215)</f>
        <v>-1.4663567833465641</v>
      </c>
      <c r="P202" s="109" t="s">
        <v>337</v>
      </c>
      <c r="Q202" s="85">
        <f ca="1">[1]!DAGOSTINO(E195:E215)</f>
        <v>9.1953006664561876</v>
      </c>
      <c r="S202" t="s">
        <v>356</v>
      </c>
      <c r="T202">
        <f ca="1">_xlfn.T.DIST.RT(ABS(X198),Y198)</f>
        <v>3.8535345743895372E-8</v>
      </c>
      <c r="U202">
        <f ca="1">_xlfn.T.INV.2T(W194*2,Y198)</f>
        <v>1.7247182429207868</v>
      </c>
      <c r="V202" s="70"/>
      <c r="W202" s="70"/>
      <c r="X202" s="70" t="str">
        <f ca="1">IF(T202&lt;W194,"yes","no")</f>
        <v>yes</v>
      </c>
    </row>
    <row r="203" spans="3:31" x14ac:dyDescent="0.3">
      <c r="C203" s="2" t="s">
        <v>293</v>
      </c>
      <c r="D203" s="37" cm="1">
        <f t="array" aca="1" ref="D203" ca="1">INDIRECT("'" &amp; C203 &amp; "'!$E$165")</f>
        <v>1</v>
      </c>
      <c r="E203" s="37" cm="1">
        <f t="array" aca="1" ref="E203" ca="1">INDIRECT("'" &amp; C203 &amp; "'!$F$164")</f>
        <v>5</v>
      </c>
      <c r="G203" t="s">
        <v>309</v>
      </c>
      <c r="H203">
        <f ca="1">H204-H205</f>
        <v>4</v>
      </c>
      <c r="J203" t="s">
        <v>333</v>
      </c>
      <c r="K203">
        <f ca="1">[1]!DPTEST(D195:D215)</f>
        <v>2.0534096650814959E-6</v>
      </c>
      <c r="M203" t="s">
        <v>309</v>
      </c>
      <c r="N203">
        <f ca="1">N204-N205</f>
        <v>4</v>
      </c>
      <c r="P203" t="s">
        <v>333</v>
      </c>
      <c r="Q203">
        <f ca="1">[1]!DPTEST(E195:E215)</f>
        <v>1.0075481978585432E-2</v>
      </c>
      <c r="S203" t="s">
        <v>357</v>
      </c>
      <c r="T203">
        <f ca="1">_xlfn.T.DIST.2T(ABS(X198),Y198)</f>
        <v>7.7070691487790743E-8</v>
      </c>
      <c r="U203">
        <f ca="1">_xlfn.T.INV.2T(W194,Y198)</f>
        <v>2.0859634472658648</v>
      </c>
      <c r="V203">
        <f ca="1">(U196-U197)-W198*U203</f>
        <v>-3.2243024195421448</v>
      </c>
      <c r="W203">
        <f ca="1">(U196-U197)+W198*U203</f>
        <v>-1.9185547233149993</v>
      </c>
      <c r="X203" s="70" t="str">
        <f ca="1">IF(T203&lt;W194,"yes","no")</f>
        <v>yes</v>
      </c>
      <c r="AD203" s="70" t="s">
        <v>365</v>
      </c>
      <c r="AE203" s="70" t="s">
        <v>366</v>
      </c>
    </row>
    <row r="204" spans="3:31" x14ac:dyDescent="0.3">
      <c r="C204" s="2" t="s">
        <v>294</v>
      </c>
      <c r="D204" s="37" cm="1">
        <f t="array" aca="1" ref="D204" ca="1">INDIRECT("'" &amp; C204 &amp; "'!$E$165")</f>
        <v>1</v>
      </c>
      <c r="E204" s="37" cm="1">
        <f t="array" aca="1" ref="E204" ca="1">INDIRECT("'" &amp; C204 &amp; "'!$F$164")</f>
        <v>4</v>
      </c>
      <c r="G204" t="s">
        <v>310</v>
      </c>
      <c r="H204" s="108">
        <f ca="1">MAX(D195:D215)</f>
        <v>5</v>
      </c>
      <c r="J204" t="s">
        <v>334</v>
      </c>
      <c r="K204">
        <v>0.05</v>
      </c>
      <c r="M204" t="s">
        <v>310</v>
      </c>
      <c r="N204" s="65">
        <f ca="1">MAX(E195:E215)</f>
        <v>5</v>
      </c>
      <c r="P204" t="s">
        <v>334</v>
      </c>
      <c r="Q204">
        <v>0.05</v>
      </c>
      <c r="S204" s="85"/>
      <c r="T204" s="85"/>
      <c r="U204" s="85"/>
      <c r="V204" s="85"/>
      <c r="W204" s="85"/>
      <c r="X204" s="85"/>
      <c r="AC204" t="s">
        <v>367</v>
      </c>
      <c r="AD204" s="88">
        <f ca="1">AD198*(AD198+1)/4</f>
        <v>85.5</v>
      </c>
    </row>
    <row r="205" spans="3:31" x14ac:dyDescent="0.3">
      <c r="C205" s="2" t="s">
        <v>295</v>
      </c>
      <c r="D205" s="37" cm="1">
        <f t="array" aca="1" ref="D205" ca="1">INDIRECT("'" &amp; C205 &amp; "'!$E$165")</f>
        <v>1</v>
      </c>
      <c r="E205" s="37" cm="1">
        <f t="array" aca="1" ref="E205" ca="1">INDIRECT("'" &amp; C205 &amp; "'!$F$164")</f>
        <v>4</v>
      </c>
      <c r="G205" t="s">
        <v>311</v>
      </c>
      <c r="H205" s="65">
        <f ca="1">MIN(D195:D215)</f>
        <v>1</v>
      </c>
      <c r="J205" s="63" t="s">
        <v>335</v>
      </c>
      <c r="K205" s="66" t="str">
        <f ca="1">IF(K203&lt;K204,"no","yes")</f>
        <v>no</v>
      </c>
      <c r="M205" t="s">
        <v>311</v>
      </c>
      <c r="N205" s="65">
        <f ca="1">MIN(E195:E215)</f>
        <v>1</v>
      </c>
      <c r="P205" s="63" t="s">
        <v>335</v>
      </c>
      <c r="Q205" s="66" t="str">
        <f ca="1">IF(Q203&lt;Q204,"no","yes")</f>
        <v>no</v>
      </c>
      <c r="AC205" t="s">
        <v>368</v>
      </c>
      <c r="AD205" s="74">
        <f ca="1">SQRT(AD204*(2*AD198+1)/6-[1]!TiesCorrection(D195:D215,E195:E215,1)/48)</f>
        <v>22.699118925632334</v>
      </c>
      <c r="AE205" t="s">
        <v>369</v>
      </c>
    </row>
    <row r="206" spans="3:31" x14ac:dyDescent="0.3">
      <c r="C206" s="2" t="s">
        <v>296</v>
      </c>
      <c r="D206" s="37" cm="1">
        <f t="array" aca="1" ref="D206" ca="1">INDIRECT("'" &amp; C206 &amp; "'!$E$165")</f>
        <v>1</v>
      </c>
      <c r="E206" s="37" cm="1">
        <f t="array" aca="1" ref="E206" ca="1">INDIRECT("'" &amp; C206 &amp; "'!$F$164")</f>
        <v>4</v>
      </c>
      <c r="F206" s="70"/>
      <c r="G206" t="s">
        <v>312</v>
      </c>
      <c r="H206" s="65">
        <f ca="1">SUM(D195:D215)</f>
        <v>33</v>
      </c>
      <c r="M206" t="s">
        <v>312</v>
      </c>
      <c r="N206" s="65">
        <f ca="1">SUM(E195:E215)</f>
        <v>87</v>
      </c>
      <c r="AC206" t="s">
        <v>370</v>
      </c>
      <c r="AD206" s="74">
        <f ca="1">ABS(ABS(AD201-AD204)-1/2)/AD205</f>
        <v>3.7446387359121753</v>
      </c>
      <c r="AE206" t="s">
        <v>371</v>
      </c>
    </row>
    <row r="207" spans="3:31" x14ac:dyDescent="0.3">
      <c r="C207" s="2" t="s">
        <v>297</v>
      </c>
      <c r="D207" s="37" cm="1">
        <f t="array" aca="1" ref="D207" ca="1">INDIRECT("'" &amp; C207 &amp; "'!$E$165")</f>
        <v>2</v>
      </c>
      <c r="E207" s="37" cm="1">
        <f t="array" aca="1" ref="E207" ca="1">INDIRECT("'" &amp; C207 &amp; "'!$F$164")</f>
        <v>4</v>
      </c>
      <c r="G207" t="s">
        <v>313</v>
      </c>
      <c r="H207">
        <f ca="1">COUNT(D195:D215)</f>
        <v>21</v>
      </c>
      <c r="M207" t="s">
        <v>313</v>
      </c>
      <c r="N207">
        <f ca="1">COUNT(E195:E215)</f>
        <v>21</v>
      </c>
      <c r="AC207" t="s">
        <v>372</v>
      </c>
      <c r="AD207" s="74">
        <f ca="1">AD206/SQRT(AD198)</f>
        <v>0.88261981441910686</v>
      </c>
    </row>
    <row r="208" spans="3:31" x14ac:dyDescent="0.3">
      <c r="C208" s="2" t="s">
        <v>298</v>
      </c>
      <c r="D208" s="37" cm="1">
        <f t="array" aca="1" ref="D208" ca="1">INDIRECT("'" &amp; C208 &amp; "'!$E$165")</f>
        <v>1</v>
      </c>
      <c r="E208" s="37" cm="1">
        <f t="array" aca="1" ref="E208" ca="1">INDIRECT("'" &amp; C208 &amp; "'!$F$164")</f>
        <v>5</v>
      </c>
      <c r="G208" t="s">
        <v>314</v>
      </c>
      <c r="H208">
        <f ca="1">GEOMEAN(D195:D215)</f>
        <v>1.3867970714155475</v>
      </c>
      <c r="M208" t="s">
        <v>314</v>
      </c>
      <c r="N208">
        <f ca="1">GEOMEAN(E195:E215)</f>
        <v>3.8862780408892852</v>
      </c>
      <c r="AC208" t="s">
        <v>373</v>
      </c>
      <c r="AD208" s="88">
        <f ca="1">1-_xlfn.NORM.S.DIST(AD206,TRUE)</f>
        <v>9.0326765150861021E-5</v>
      </c>
      <c r="AE208" s="104">
        <f ca="1">2*AD208</f>
        <v>1.8065353030172204E-4</v>
      </c>
    </row>
    <row r="209" spans="3:31" x14ac:dyDescent="0.3">
      <c r="C209" s="2" t="s">
        <v>299</v>
      </c>
      <c r="D209" s="37" cm="1">
        <f t="array" aca="1" ref="D209" ca="1">INDIRECT("'" &amp; C209 &amp; "'!$E$165")</f>
        <v>1</v>
      </c>
      <c r="E209" s="37" cm="1">
        <f t="array" aca="1" ref="E209" ca="1">INDIRECT("'" &amp; C209 &amp; "'!$F$164")</f>
        <v>4</v>
      </c>
      <c r="G209" t="s">
        <v>315</v>
      </c>
      <c r="H209">
        <f ca="1">HARMEAN(D195:D215)</f>
        <v>1.270161290322581</v>
      </c>
      <c r="M209" t="s">
        <v>315</v>
      </c>
      <c r="N209">
        <f ca="1">HARMEAN(E195:E215)</f>
        <v>3.4806629834254146</v>
      </c>
      <c r="AC209" t="s">
        <v>374</v>
      </c>
      <c r="AD209" s="74">
        <f ca="1">[1]!SRDIST(AD201,AD198,1)</f>
        <v>3.814697265625E-6</v>
      </c>
      <c r="AE209" s="77">
        <f ca="1">2*AD209</f>
        <v>7.62939453125E-6</v>
      </c>
    </row>
    <row r="210" spans="3:31" x14ac:dyDescent="0.3">
      <c r="C210" s="2" t="s">
        <v>395</v>
      </c>
      <c r="D210" s="37" cm="1">
        <f t="array" aca="1" ref="D210" ca="1">INDIRECT("'" &amp; C210 &amp; "'!$E$165")</f>
        <v>5</v>
      </c>
      <c r="E210" s="37" cm="1">
        <f t="array" aca="1" ref="E210" ca="1">INDIRECT("'" &amp; C210 &amp; "'!$F$164")</f>
        <v>5</v>
      </c>
      <c r="G210" t="s">
        <v>316</v>
      </c>
      <c r="H210">
        <f ca="1">AVEDEV(D195:D215)</f>
        <v>0.70748299319727881</v>
      </c>
      <c r="M210" t="s">
        <v>316</v>
      </c>
      <c r="N210">
        <f ca="1">AVEDEV(E195:E215)</f>
        <v>0.89795918367346927</v>
      </c>
      <c r="AC210" t="s">
        <v>375</v>
      </c>
      <c r="AD210" s="75" t="s">
        <v>376</v>
      </c>
      <c r="AE210" s="78" t="s">
        <v>376</v>
      </c>
    </row>
    <row r="211" spans="3:31" x14ac:dyDescent="0.3">
      <c r="C211" s="2" t="s">
        <v>396</v>
      </c>
      <c r="D211" s="37" cm="1">
        <f t="array" aca="1" ref="D211" ca="1">INDIRECT("'" &amp; C211 &amp; "'!$E$165")</f>
        <v>2</v>
      </c>
      <c r="E211" s="37" cm="1">
        <f t="array" aca="1" ref="E211" ca="1">INDIRECT("'" &amp; C211 &amp; "'!$F$164")</f>
        <v>5</v>
      </c>
      <c r="G211" t="s">
        <v>317</v>
      </c>
      <c r="H211">
        <f ca="1">[1]!MAD(D195:D215)</f>
        <v>0</v>
      </c>
      <c r="M211" t="s">
        <v>317</v>
      </c>
      <c r="N211">
        <f ca="1">[1]!MAD(E195:E215)</f>
        <v>0</v>
      </c>
    </row>
    <row r="212" spans="3:31" x14ac:dyDescent="0.3">
      <c r="C212" s="2" t="s">
        <v>397</v>
      </c>
      <c r="D212" s="37" cm="1">
        <f t="array" aca="1" ref="D212" ca="1">INDIRECT("'" &amp; C212 &amp; "'!$E$165")</f>
        <v>1</v>
      </c>
      <c r="E212" s="37" cm="1">
        <f t="array" aca="1" ref="E212" ca="1">INDIRECT("'" &amp; C212 &amp; "'!$F$164")</f>
        <v>5</v>
      </c>
      <c r="G212" s="63" t="s">
        <v>318</v>
      </c>
      <c r="H212" s="63">
        <f ca="1">[1]!IQR(D195:D215,FALSE)</f>
        <v>1</v>
      </c>
      <c r="M212" s="63" t="s">
        <v>318</v>
      </c>
      <c r="N212" s="63">
        <f ca="1">[1]!IQR(E195:E215,FALSE)</f>
        <v>1</v>
      </c>
    </row>
    <row r="213" spans="3:31" x14ac:dyDescent="0.3">
      <c r="C213" s="2" t="s">
        <v>398</v>
      </c>
      <c r="D213" s="37" cm="1">
        <f t="array" aca="1" ref="D213" ca="1">INDIRECT("'" &amp; C213 &amp; "'!$E$165")</f>
        <v>2</v>
      </c>
      <c r="E213" s="37" cm="1">
        <f t="array" aca="1" ref="E213" ca="1">INDIRECT("'" &amp; C213 &amp; "'!$F$164")</f>
        <v>4</v>
      </c>
    </row>
    <row r="214" spans="3:31" x14ac:dyDescent="0.3">
      <c r="C214" s="2" t="s">
        <v>399</v>
      </c>
      <c r="D214" s="37" cm="1">
        <f t="array" aca="1" ref="D214" ca="1">INDIRECT("'" &amp; C214 &amp; "'!$E$165")</f>
        <v>1</v>
      </c>
      <c r="E214" s="37" cm="1">
        <f t="array" aca="1" ref="E214" ca="1">INDIRECT("'" &amp; C214 &amp; "'!$F$164")</f>
        <v>1</v>
      </c>
      <c r="G214" s="2"/>
      <c r="H214" s="2"/>
      <c r="I214" s="2"/>
      <c r="J214" s="65"/>
    </row>
    <row r="215" spans="3:31" x14ac:dyDescent="0.3">
      <c r="C215" s="2" t="s">
        <v>400</v>
      </c>
      <c r="D215" s="37" cm="1">
        <f t="array" aca="1" ref="D215" ca="1">INDIRECT("'" &amp; C215 &amp; "'!$E$165")</f>
        <v>2</v>
      </c>
      <c r="E215" s="37" cm="1">
        <f t="array" aca="1" ref="E215" ca="1">INDIRECT("'" &amp; C215 &amp; "'!$F$164")</f>
        <v>3</v>
      </c>
      <c r="G215" s="47"/>
      <c r="H215" s="37"/>
      <c r="I215" s="37"/>
      <c r="M215" s="80"/>
      <c r="Y215" s="65"/>
    </row>
    <row r="220" spans="3:31" x14ac:dyDescent="0.3">
      <c r="C220" s="2"/>
      <c r="D220" s="58" t="s">
        <v>200</v>
      </c>
      <c r="E220" s="2"/>
    </row>
    <row r="221" spans="3:31" x14ac:dyDescent="0.3">
      <c r="C221" s="2"/>
      <c r="D221" s="2"/>
      <c r="E221" s="2"/>
    </row>
    <row r="222" spans="3:31" x14ac:dyDescent="0.3">
      <c r="C222" s="2" t="s">
        <v>285</v>
      </c>
      <c r="D222" s="37" cm="1">
        <f t="array" aca="1" ref="D222" ca="1">INDIRECT("'" &amp; C222 &amp; "'!$E$165")</f>
        <v>2</v>
      </c>
      <c r="E222" s="37" cm="1">
        <f t="array" aca="1" ref="E222" ca="1">INDIRECT("'" &amp; C222 &amp; "'!$F$165")</f>
        <v>4</v>
      </c>
      <c r="G222" t="s">
        <v>300</v>
      </c>
      <c r="J222" t="s">
        <v>331</v>
      </c>
      <c r="M222" t="s">
        <v>300</v>
      </c>
      <c r="P222" t="s">
        <v>331</v>
      </c>
      <c r="S222" t="s">
        <v>338</v>
      </c>
      <c r="AC222" t="s">
        <v>358</v>
      </c>
    </row>
    <row r="223" spans="3:31" x14ac:dyDescent="0.3">
      <c r="C223" s="2" t="s">
        <v>286</v>
      </c>
      <c r="D223" s="37" cm="1">
        <f t="array" aca="1" ref="D223" ca="1">INDIRECT("'" &amp; C223 &amp; "'!$E$165")</f>
        <v>1</v>
      </c>
      <c r="E223" s="37" cm="1">
        <f t="array" aca="1" ref="E223" ca="1">INDIRECT("'" &amp; C223 &amp; "'!$F$165")</f>
        <v>3</v>
      </c>
    </row>
    <row r="224" spans="3:31" ht="15" thickBot="1" x14ac:dyDescent="0.35">
      <c r="C224" s="2" t="s">
        <v>287</v>
      </c>
      <c r="D224" s="37" cm="1">
        <f t="array" aca="1" ref="D224" ca="1">INDIRECT("'" &amp; C224 &amp; "'!$E$165")</f>
        <v>3</v>
      </c>
      <c r="E224" s="37" cm="1">
        <f t="array" aca="1" ref="E224" ca="1">INDIRECT("'" &amp; C224 &amp; "'!$F$165")</f>
        <v>1</v>
      </c>
      <c r="G224" s="135"/>
      <c r="H224" s="135" t="s">
        <v>379</v>
      </c>
      <c r="J224" s="135"/>
      <c r="K224" s="135" t="s">
        <v>379</v>
      </c>
      <c r="M224" s="135"/>
      <c r="N224" s="135" t="s">
        <v>379</v>
      </c>
      <c r="P224" s="135"/>
      <c r="Q224" s="135" t="s">
        <v>379</v>
      </c>
      <c r="S224" t="s">
        <v>339</v>
      </c>
      <c r="V224" t="s">
        <v>340</v>
      </c>
      <c r="W224">
        <v>0.05</v>
      </c>
      <c r="Y224" t="s">
        <v>341</v>
      </c>
      <c r="Z224">
        <v>0</v>
      </c>
      <c r="AD224" t="s">
        <v>381</v>
      </c>
      <c r="AE224" t="s">
        <v>382</v>
      </c>
    </row>
    <row r="225" spans="3:31" ht="15" thickTop="1" x14ac:dyDescent="0.3">
      <c r="C225" s="2" t="s">
        <v>288</v>
      </c>
      <c r="D225" s="37" cm="1">
        <f t="array" aca="1" ref="D225" ca="1">INDIRECT("'" &amp; C225 &amp; "'!$E$165")</f>
        <v>1</v>
      </c>
      <c r="E225" s="37" cm="1">
        <f t="array" aca="1" ref="E225" ca="1">INDIRECT("'" &amp; C225 &amp; "'!$F$165")</f>
        <v>1</v>
      </c>
      <c r="G225" t="s">
        <v>301</v>
      </c>
      <c r="H225" s="65">
        <f ca="1">AVERAGE(D222:D242)</f>
        <v>1.5714285714285714</v>
      </c>
      <c r="J225" t="s">
        <v>332</v>
      </c>
      <c r="K225">
        <f ca="1">[1]!SHAPIRO(D222:D242)</f>
        <v>0.62926581179343322</v>
      </c>
      <c r="M225" t="s">
        <v>301</v>
      </c>
      <c r="N225" s="65">
        <f ca="1">AVERAGE(E222:E242)</f>
        <v>1.4761904761904763</v>
      </c>
      <c r="P225" t="s">
        <v>332</v>
      </c>
      <c r="Q225">
        <f ca="1">[1]!SHAPIRO(E222:E242)</f>
        <v>0.64602869268923591</v>
      </c>
      <c r="S225" s="101" t="s">
        <v>342</v>
      </c>
      <c r="T225" s="101" t="s">
        <v>313</v>
      </c>
      <c r="U225" s="101" t="s">
        <v>301</v>
      </c>
      <c r="V225" s="101" t="s">
        <v>343</v>
      </c>
      <c r="W225" s="101" t="s">
        <v>344</v>
      </c>
      <c r="X225" s="101" t="s">
        <v>345</v>
      </c>
      <c r="Y225" s="101" t="s">
        <v>346</v>
      </c>
      <c r="Z225" s="101" t="s">
        <v>347</v>
      </c>
      <c r="AA225" s="101" t="s">
        <v>348</v>
      </c>
      <c r="AC225" t="s">
        <v>359</v>
      </c>
      <c r="AD225" s="115">
        <f ca="1">MEDIAN(D222:D242)</f>
        <v>1</v>
      </c>
      <c r="AE225" s="116">
        <f ca="1">MEDIAN(E222:E242)</f>
        <v>1</v>
      </c>
    </row>
    <row r="226" spans="3:31" x14ac:dyDescent="0.3">
      <c r="C226" s="2" t="s">
        <v>289</v>
      </c>
      <c r="D226" s="37" cm="1">
        <f t="array" aca="1" ref="D226" ca="1">INDIRECT("'" &amp; C226 &amp; "'!$E$165")</f>
        <v>1</v>
      </c>
      <c r="E226" s="37" cm="1">
        <f t="array" aca="1" ref="E226" ca="1">INDIRECT("'" &amp; C226 &amp; "'!$F$165")</f>
        <v>1</v>
      </c>
      <c r="G226" t="s">
        <v>302</v>
      </c>
      <c r="H226">
        <f ca="1">_xlfn.STDEV.S(D222:D242)/SQRT(COUNT(D222:D242))</f>
        <v>0.21349058829961806</v>
      </c>
      <c r="J226" t="s">
        <v>333</v>
      </c>
      <c r="K226">
        <f ca="1">[1]!SWTEST(D222:D242)</f>
        <v>4.0784608087429675E-6</v>
      </c>
      <c r="M226" t="s">
        <v>302</v>
      </c>
      <c r="N226">
        <f ca="1">_xlfn.STDEV.S(E222:E242)/SQRT(COUNT(E222:E242))</f>
        <v>0.17753668459340238</v>
      </c>
      <c r="P226" t="s">
        <v>333</v>
      </c>
      <c r="Q226">
        <f ca="1">[1]!SWTEST(E222:E242)</f>
        <v>6.2843601122963832E-6</v>
      </c>
      <c r="S226" t="s">
        <v>379</v>
      </c>
      <c r="T226">
        <f ca="1">COUNT(D222:D242)</f>
        <v>21</v>
      </c>
      <c r="U226" s="65">
        <f ca="1">AVERAGE(D222:D242)</f>
        <v>1.5714285714285714</v>
      </c>
      <c r="V226">
        <f ca="1">_xlfn.STDEV.S(D222:D242)</f>
        <v>0.97833678104365329</v>
      </c>
    </row>
    <row r="227" spans="3:31" x14ac:dyDescent="0.3">
      <c r="C227" s="2" t="s">
        <v>290</v>
      </c>
      <c r="D227" s="37" cm="1">
        <f t="array" aca="1" ref="D227" ca="1">INDIRECT("'" &amp; C227 &amp; "'!$E$165")</f>
        <v>1</v>
      </c>
      <c r="E227" s="37" cm="1">
        <f t="array" aca="1" ref="E227" ca="1">INDIRECT("'" &amp; C227 &amp; "'!$F$165")</f>
        <v>2</v>
      </c>
      <c r="G227" t="s">
        <v>303</v>
      </c>
      <c r="H227" s="65">
        <f ca="1">MEDIAN(D222:D242)</f>
        <v>1</v>
      </c>
      <c r="J227" t="s">
        <v>334</v>
      </c>
      <c r="K227">
        <v>0.05</v>
      </c>
      <c r="M227" t="s">
        <v>303</v>
      </c>
      <c r="N227" s="65">
        <f ca="1">MEDIAN(E222:E242)</f>
        <v>1</v>
      </c>
      <c r="P227" t="s">
        <v>334</v>
      </c>
      <c r="Q227">
        <v>0.05</v>
      </c>
      <c r="S227" t="s">
        <v>380</v>
      </c>
      <c r="T227">
        <f ca="1">COUNT(E222:E242)</f>
        <v>21</v>
      </c>
      <c r="U227" s="65">
        <f ca="1">AVERAGE(E222:E242)</f>
        <v>1.4761904761904763</v>
      </c>
      <c r="V227">
        <f ca="1">_xlfn.STDEV.S(E222:E242)</f>
        <v>0.81357529578076671</v>
      </c>
      <c r="AC227" t="s">
        <v>360</v>
      </c>
      <c r="AD227" s="117">
        <f ca="1">SUMPRODUCT(--ISNUMBER(D222:D242),--ISNUMBER(E222:E242))</f>
        <v>21</v>
      </c>
    </row>
    <row r="228" spans="3:31" x14ac:dyDescent="0.3">
      <c r="C228" s="2" t="s">
        <v>291</v>
      </c>
      <c r="D228" s="37" cm="1">
        <f t="array" aca="1" ref="D228" ca="1">INDIRECT("'" &amp; C228 &amp; "'!$E$165")</f>
        <v>1</v>
      </c>
      <c r="E228" s="37" cm="1">
        <f t="array" aca="1" ref="E228" ca="1">INDIRECT("'" &amp; C228 &amp; "'!$F$165")</f>
        <v>2</v>
      </c>
      <c r="G228" t="s">
        <v>304</v>
      </c>
      <c r="H228">
        <f ca="1">MODE(D222:D242)</f>
        <v>1</v>
      </c>
      <c r="J228" s="134" t="s">
        <v>335</v>
      </c>
      <c r="K228" s="136" t="str">
        <f ca="1">IF(K226&lt;K227,"no","yes")</f>
        <v>no</v>
      </c>
      <c r="M228" t="s">
        <v>304</v>
      </c>
      <c r="N228">
        <f ca="1">MODE(E222:E242)</f>
        <v>1</v>
      </c>
      <c r="P228" s="134" t="s">
        <v>335</v>
      </c>
      <c r="Q228" s="136" t="str">
        <f ca="1">IF(Q226&lt;Q227,"no","yes")</f>
        <v>no</v>
      </c>
      <c r="S228" s="130" t="s">
        <v>349</v>
      </c>
      <c r="T228" s="130">
        <f ca="1">T227</f>
        <v>21</v>
      </c>
      <c r="U228" s="131">
        <f ca="1">U226-U227</f>
        <v>9.5238095238095122E-2</v>
      </c>
      <c r="V228" s="130">
        <f t="array" aca="1" ref="V228" ca="1">_xlfn.STDEV.S(D222:D242-E222:E242)</f>
        <v>1.2611408289624877</v>
      </c>
      <c r="W228" s="130">
        <f ca="1">V228/SQRT(T228)</f>
        <v>0.27520349098666458</v>
      </c>
      <c r="X228" s="130">
        <f ca="1">(U226-U227-Z224)/W228</f>
        <v>0.34606427010299096</v>
      </c>
      <c r="Y228" s="130">
        <f ca="1">T228-1</f>
        <v>20</v>
      </c>
      <c r="Z228" s="130">
        <f ca="1">ABS(U226-U227-Z224)/V228</f>
        <v>7.5517414907933289E-2</v>
      </c>
      <c r="AA228" s="130">
        <f ca="1">SQRT(X228^2/(X228^2+Y228))</f>
        <v>7.7151674981045859E-2</v>
      </c>
      <c r="AC228" t="s">
        <v>361</v>
      </c>
      <c r="AD228" s="74">
        <f ca="1">SUMPRODUCT(--ISNUMBER(D222:D242),--ISNUMBER(E222:E242),--(D222:D242&lt;&gt;E222:E242))</f>
        <v>8</v>
      </c>
    </row>
    <row r="229" spans="3:31" x14ac:dyDescent="0.3">
      <c r="C229" s="2" t="s">
        <v>292</v>
      </c>
      <c r="D229" s="37" cm="1">
        <f t="array" aca="1" ref="D229" ca="1">INDIRECT("'" &amp; C229 &amp; "'!$E$165")</f>
        <v>2</v>
      </c>
      <c r="E229" s="37" cm="1">
        <f t="array" aca="1" ref="E229" ca="1">INDIRECT("'" &amp; C229 &amp; "'!$F$165")</f>
        <v>2</v>
      </c>
      <c r="G229" t="s">
        <v>305</v>
      </c>
      <c r="H229">
        <f ca="1">_xlfn.STDEV.S(D222:D242)</f>
        <v>0.97833678104365329</v>
      </c>
      <c r="M229" t="s">
        <v>305</v>
      </c>
      <c r="N229">
        <f ca="1">_xlfn.STDEV.S(E222:E242)</f>
        <v>0.81357529578076671</v>
      </c>
      <c r="AC229" t="s">
        <v>362</v>
      </c>
      <c r="AD229" s="74">
        <f ca="1">IF(AD231&lt;=AD234,AD231,AD228*(AD228+1)/2)</f>
        <v>17</v>
      </c>
    </row>
    <row r="230" spans="3:31" ht="15" thickBot="1" x14ac:dyDescent="0.35">
      <c r="C230" s="2" t="s">
        <v>293</v>
      </c>
      <c r="D230" s="37" cm="1">
        <f t="array" aca="1" ref="D230" ca="1">INDIRECT("'" &amp; C230 &amp; "'!$E$165")</f>
        <v>1</v>
      </c>
      <c r="E230" s="37" cm="1">
        <f t="array" aca="1" ref="E230" ca="1">INDIRECT("'" &amp; C230 &amp; "'!$F$165")</f>
        <v>1</v>
      </c>
      <c r="G230" t="s">
        <v>306</v>
      </c>
      <c r="H230">
        <f ca="1">_xlfn.VAR.S(D222:D242)</f>
        <v>0.9571428571428573</v>
      </c>
      <c r="J230" t="s">
        <v>336</v>
      </c>
      <c r="M230" t="s">
        <v>306</v>
      </c>
      <c r="N230">
        <f ca="1">_xlfn.VAR.S(E222:E242)</f>
        <v>0.661904761904762</v>
      </c>
      <c r="P230" t="s">
        <v>336</v>
      </c>
      <c r="S230" t="s">
        <v>350</v>
      </c>
      <c r="AC230" t="s">
        <v>363</v>
      </c>
      <c r="AD230" s="74">
        <f ca="1">AD228*(AD228+1)/2-AD229</f>
        <v>19</v>
      </c>
    </row>
    <row r="231" spans="3:31" ht="15" thickTop="1" x14ac:dyDescent="0.3">
      <c r="C231" s="2" t="s">
        <v>294</v>
      </c>
      <c r="D231" s="37" cm="1">
        <f t="array" aca="1" ref="D231" ca="1">INDIRECT("'" &amp; C231 &amp; "'!$E$165")</f>
        <v>1</v>
      </c>
      <c r="E231" s="37" cm="1">
        <f t="array" aca="1" ref="E231" ca="1">INDIRECT("'" &amp; C231 &amp; "'!$F$165")</f>
        <v>1</v>
      </c>
      <c r="G231" t="s">
        <v>307</v>
      </c>
      <c r="H231">
        <f ca="1">KURT(D222:D242)</f>
        <v>7.1033286044248474</v>
      </c>
      <c r="M231" t="s">
        <v>307</v>
      </c>
      <c r="N231">
        <f ca="1">KURT(E222:E242)</f>
        <v>3.7463735940441194</v>
      </c>
      <c r="S231" s="101" t="s">
        <v>351</v>
      </c>
      <c r="T231" s="101" t="s">
        <v>333</v>
      </c>
      <c r="U231" s="101" t="s">
        <v>352</v>
      </c>
      <c r="V231" s="101" t="s">
        <v>353</v>
      </c>
      <c r="W231" s="101" t="s">
        <v>354</v>
      </c>
      <c r="X231" s="101" t="s">
        <v>355</v>
      </c>
      <c r="AC231" t="s">
        <v>364</v>
      </c>
      <c r="AD231" s="132">
        <f ca="1">[1]!SRANK(D222:D242,E222:E242)</f>
        <v>17</v>
      </c>
    </row>
    <row r="232" spans="3:31" x14ac:dyDescent="0.3">
      <c r="C232" s="2" t="s">
        <v>295</v>
      </c>
      <c r="D232" s="37" cm="1">
        <f t="array" aca="1" ref="D232" ca="1">INDIRECT("'" &amp; C232 &amp; "'!$E$165")</f>
        <v>1</v>
      </c>
      <c r="E232" s="37" cm="1">
        <f t="array" aca="1" ref="E232" ca="1">INDIRECT("'" &amp; C232 &amp; "'!$F$165")</f>
        <v>1</v>
      </c>
      <c r="G232" t="s">
        <v>308</v>
      </c>
      <c r="H232">
        <f ca="1">SKEW(D222:D242)</f>
        <v>2.4353177003831354</v>
      </c>
      <c r="J232" s="130" t="s">
        <v>337</v>
      </c>
      <c r="K232" s="130">
        <f ca="1">[1]!DAGOSTINO(D222:D242)</f>
        <v>26.192017790413352</v>
      </c>
      <c r="M232" t="s">
        <v>308</v>
      </c>
      <c r="N232">
        <f ca="1">SKEW(E222:E242)</f>
        <v>1.931443208161659</v>
      </c>
      <c r="P232" s="130" t="s">
        <v>337</v>
      </c>
      <c r="Q232" s="130">
        <f ca="1">[1]!DAGOSTINO(E222:E242)</f>
        <v>17.147564366348636</v>
      </c>
      <c r="S232" t="s">
        <v>356</v>
      </c>
      <c r="T232">
        <f ca="1">_xlfn.T.DIST.RT(ABS(X228),Y228)</f>
        <v>0.36645416818630916</v>
      </c>
      <c r="U232">
        <f ca="1">_xlfn.T.INV.2T(W224*2,Y228)</f>
        <v>1.7247182429207868</v>
      </c>
      <c r="X232" s="70" t="str">
        <f ca="1">IF(T232&lt;W224,"yes","no")</f>
        <v>no</v>
      </c>
    </row>
    <row r="233" spans="3:31" x14ac:dyDescent="0.3">
      <c r="C233" s="2" t="s">
        <v>296</v>
      </c>
      <c r="D233" s="37" cm="1">
        <f t="array" aca="1" ref="D233" ca="1">INDIRECT("'" &amp; C233 &amp; "'!$E$165")</f>
        <v>1</v>
      </c>
      <c r="E233" s="37" cm="1">
        <f t="array" aca="1" ref="E233" ca="1">INDIRECT("'" &amp; C233 &amp; "'!$F$165")</f>
        <v>1</v>
      </c>
      <c r="G233" t="s">
        <v>309</v>
      </c>
      <c r="H233">
        <f ca="1">H234-H235</f>
        <v>4</v>
      </c>
      <c r="J233" t="s">
        <v>333</v>
      </c>
      <c r="K233">
        <f ca="1">[1]!DPTEST(D222:D242)</f>
        <v>2.0534096650814959E-6</v>
      </c>
      <c r="M233" t="s">
        <v>309</v>
      </c>
      <c r="N233">
        <f ca="1">N234-N235</f>
        <v>3</v>
      </c>
      <c r="P233" t="s">
        <v>333</v>
      </c>
      <c r="Q233">
        <f ca="1">[1]!DPTEST(E222:E242)</f>
        <v>1.8899647702186329E-4</v>
      </c>
      <c r="S233" t="s">
        <v>357</v>
      </c>
      <c r="T233">
        <f ca="1">_xlfn.T.DIST.2T(ABS(X228),Y228)</f>
        <v>0.73290833637261832</v>
      </c>
      <c r="U233">
        <f ca="1">_xlfn.T.INV.2T(W224,Y228)</f>
        <v>2.0859634472658648</v>
      </c>
      <c r="V233">
        <f ca="1">(U226-U227)-W228*U233</f>
        <v>-0.47882632752004806</v>
      </c>
      <c r="W233">
        <f ca="1">(U226-U227)+W228*U233</f>
        <v>0.6693025179962383</v>
      </c>
      <c r="X233" s="70" t="str">
        <f ca="1">IF(T233&lt;W224,"yes","no")</f>
        <v>no</v>
      </c>
      <c r="AD233" s="70" t="s">
        <v>365</v>
      </c>
      <c r="AE233" s="70" t="s">
        <v>366</v>
      </c>
    </row>
    <row r="234" spans="3:31" x14ac:dyDescent="0.3">
      <c r="C234" s="2" t="s">
        <v>297</v>
      </c>
      <c r="D234" s="37" cm="1">
        <f t="array" aca="1" ref="D234" ca="1">INDIRECT("'" &amp; C234 &amp; "'!$E$165")</f>
        <v>2</v>
      </c>
      <c r="E234" s="37" cm="1">
        <f t="array" aca="1" ref="E234" ca="1">INDIRECT("'" &amp; C234 &amp; "'!$F$165")</f>
        <v>1</v>
      </c>
      <c r="G234" t="s">
        <v>310</v>
      </c>
      <c r="H234" s="65">
        <f ca="1">MAX(D222:D242)</f>
        <v>5</v>
      </c>
      <c r="J234" t="s">
        <v>334</v>
      </c>
      <c r="K234">
        <v>0.05</v>
      </c>
      <c r="M234" t="s">
        <v>310</v>
      </c>
      <c r="N234" s="65">
        <f ca="1">MAX(E222:E242)</f>
        <v>4</v>
      </c>
      <c r="P234" t="s">
        <v>334</v>
      </c>
      <c r="Q234">
        <v>0.05</v>
      </c>
      <c r="S234" s="130"/>
      <c r="T234" s="130"/>
      <c r="U234" s="130"/>
      <c r="V234" s="130"/>
      <c r="W234" s="130"/>
      <c r="X234" s="130"/>
      <c r="AC234" t="s">
        <v>367</v>
      </c>
      <c r="AD234" s="117">
        <f ca="1">AD228*(AD228+1)/4</f>
        <v>18</v>
      </c>
    </row>
    <row r="235" spans="3:31" x14ac:dyDescent="0.3">
      <c r="C235" s="2" t="s">
        <v>298</v>
      </c>
      <c r="D235" s="37" cm="1">
        <f t="array" aca="1" ref="D235" ca="1">INDIRECT("'" &amp; C235 &amp; "'!$E$165")</f>
        <v>1</v>
      </c>
      <c r="E235" s="37" cm="1">
        <f t="array" aca="1" ref="E235" ca="1">INDIRECT("'" &amp; C235 &amp; "'!$F$165")</f>
        <v>1</v>
      </c>
      <c r="G235" t="s">
        <v>311</v>
      </c>
      <c r="H235" s="65">
        <f ca="1">MIN(D222:D242)</f>
        <v>1</v>
      </c>
      <c r="J235" s="134" t="s">
        <v>335</v>
      </c>
      <c r="K235" s="136" t="str">
        <f ca="1">IF(K233&lt;K234,"no","yes")</f>
        <v>no</v>
      </c>
      <c r="M235" t="s">
        <v>311</v>
      </c>
      <c r="N235" s="65">
        <f ca="1">MIN(E222:E242)</f>
        <v>1</v>
      </c>
      <c r="P235" s="134" t="s">
        <v>335</v>
      </c>
      <c r="Q235" s="136" t="str">
        <f ca="1">IF(Q233&lt;Q234,"no","yes")</f>
        <v>no</v>
      </c>
      <c r="AC235" t="s">
        <v>368</v>
      </c>
      <c r="AD235" s="74">
        <f ca="1">SQRT(AD234*(2*AD228+1)/6-[1]!TiesCorrection(D222:D242,E222:E242,1)/48)</f>
        <v>7.0178344238090995</v>
      </c>
      <c r="AE235" t="s">
        <v>369</v>
      </c>
    </row>
    <row r="236" spans="3:31" x14ac:dyDescent="0.3">
      <c r="C236" s="2" t="s">
        <v>299</v>
      </c>
      <c r="D236" s="37" cm="1">
        <f t="array" aca="1" ref="D236" ca="1">INDIRECT("'" &amp; C236 &amp; "'!$E$165")</f>
        <v>1</v>
      </c>
      <c r="E236" s="37" cm="1">
        <f t="array" aca="1" ref="E236" ca="1">INDIRECT("'" &amp; C236 &amp; "'!$F$165")</f>
        <v>1</v>
      </c>
      <c r="G236" t="s">
        <v>312</v>
      </c>
      <c r="H236" s="65">
        <f ca="1">SUM(D222:D242)</f>
        <v>33</v>
      </c>
      <c r="M236" t="s">
        <v>312</v>
      </c>
      <c r="N236" s="65">
        <f ca="1">SUM(E222:E242)</f>
        <v>31</v>
      </c>
      <c r="AC236" t="s">
        <v>370</v>
      </c>
      <c r="AD236" s="74">
        <f ca="1">ABS(ABS(AD231-AD234)-1/2)/AD235</f>
        <v>7.124704998790965E-2</v>
      </c>
      <c r="AE236" t="s">
        <v>371</v>
      </c>
    </row>
    <row r="237" spans="3:31" x14ac:dyDescent="0.3">
      <c r="C237" s="2" t="s">
        <v>395</v>
      </c>
      <c r="D237" s="37" cm="1">
        <f t="array" aca="1" ref="D237" ca="1">INDIRECT("'" &amp; C237 &amp; "'!$E$165")</f>
        <v>5</v>
      </c>
      <c r="E237" s="37" cm="1">
        <f t="array" aca="1" ref="E237" ca="1">INDIRECT("'" &amp; C237 &amp; "'!$F$165")</f>
        <v>1</v>
      </c>
      <c r="G237" t="s">
        <v>313</v>
      </c>
      <c r="H237">
        <f ca="1">COUNT(D222:D242)</f>
        <v>21</v>
      </c>
      <c r="M237" t="s">
        <v>313</v>
      </c>
      <c r="N237">
        <f ca="1">COUNT(E222:E242)</f>
        <v>21</v>
      </c>
      <c r="AC237" t="s">
        <v>372</v>
      </c>
      <c r="AD237" s="74">
        <f ca="1">AD236/SQRT(AD228)</f>
        <v>2.5189636092993919E-2</v>
      </c>
    </row>
    <row r="238" spans="3:31" x14ac:dyDescent="0.3">
      <c r="C238" s="2" t="s">
        <v>396</v>
      </c>
      <c r="D238" s="37" cm="1">
        <f t="array" aca="1" ref="D238" ca="1">INDIRECT("'" &amp; C238 &amp; "'!$E$165")</f>
        <v>2</v>
      </c>
      <c r="E238" s="37" cm="1">
        <f t="array" aca="1" ref="E238" ca="1">INDIRECT("'" &amp; C238 &amp; "'!$F$165")</f>
        <v>2</v>
      </c>
      <c r="G238" t="s">
        <v>314</v>
      </c>
      <c r="H238">
        <f ca="1">GEOMEAN(D222:D242)</f>
        <v>1.3867970714155475</v>
      </c>
      <c r="M238" t="s">
        <v>314</v>
      </c>
      <c r="N238">
        <f ca="1">GEOMEAN(E222:E242)</f>
        <v>1.3275882245215727</v>
      </c>
      <c r="AC238" t="s">
        <v>373</v>
      </c>
      <c r="AD238" s="117">
        <f ca="1">1-_xlfn.NORM.S.DIST(AD236,TRUE)</f>
        <v>0.47160056802814565</v>
      </c>
      <c r="AE238" s="118">
        <f ca="1">2*AD238</f>
        <v>0.9432011360562913</v>
      </c>
    </row>
    <row r="239" spans="3:31" x14ac:dyDescent="0.3">
      <c r="C239" s="2" t="s">
        <v>397</v>
      </c>
      <c r="D239" s="37" cm="1">
        <f t="array" aca="1" ref="D239" ca="1">INDIRECT("'" &amp; C239 &amp; "'!$E$165")</f>
        <v>1</v>
      </c>
      <c r="E239" s="37" cm="1">
        <f t="array" aca="1" ref="E239" ca="1">INDIRECT("'" &amp; C239 &amp; "'!$F$165")</f>
        <v>1</v>
      </c>
      <c r="G239" t="s">
        <v>315</v>
      </c>
      <c r="H239">
        <f ca="1">HARMEAN(D222:D242)</f>
        <v>1.270161290322581</v>
      </c>
      <c r="M239" t="s">
        <v>315</v>
      </c>
      <c r="N239">
        <f ca="1">HARMEAN(E222:E242)</f>
        <v>1.2292682926829268</v>
      </c>
      <c r="AC239" t="s">
        <v>374</v>
      </c>
      <c r="AD239" s="74">
        <f ca="1">[1]!SRDIST(AD231,AD228,1)</f>
        <v>0.47265625</v>
      </c>
      <c r="AE239" s="77">
        <f ca="1">2*AD239</f>
        <v>0.9453125</v>
      </c>
    </row>
    <row r="240" spans="3:31" x14ac:dyDescent="0.3">
      <c r="C240" s="2" t="s">
        <v>398</v>
      </c>
      <c r="D240" s="37" cm="1">
        <f t="array" aca="1" ref="D240" ca="1">INDIRECT("'" &amp; C240 &amp; "'!$E$165")</f>
        <v>2</v>
      </c>
      <c r="E240" s="37" cm="1">
        <f t="array" aca="1" ref="E240" ca="1">INDIRECT("'" &amp; C240 &amp; "'!$F$165")</f>
        <v>2</v>
      </c>
      <c r="G240" t="s">
        <v>316</v>
      </c>
      <c r="H240">
        <f ca="1">AVEDEV(D222:D242)</f>
        <v>0.70748299319727881</v>
      </c>
      <c r="M240" t="s">
        <v>316</v>
      </c>
      <c r="N240">
        <f ca="1">AVEDEV(E222:E242)</f>
        <v>0.634920634920635</v>
      </c>
      <c r="AC240" t="s">
        <v>375</v>
      </c>
      <c r="AD240" s="132" t="s">
        <v>376</v>
      </c>
      <c r="AE240" s="133" t="s">
        <v>376</v>
      </c>
    </row>
    <row r="241" spans="3:31" x14ac:dyDescent="0.3">
      <c r="C241" s="2" t="s">
        <v>399</v>
      </c>
      <c r="D241" s="37" cm="1">
        <f t="array" aca="1" ref="D241" ca="1">INDIRECT("'" &amp; C241 &amp; "'!$E$165")</f>
        <v>1</v>
      </c>
      <c r="E241" s="37" cm="1">
        <f t="array" aca="1" ref="E241" ca="1">INDIRECT("'" &amp; C241 &amp; "'!$F$165")</f>
        <v>1</v>
      </c>
      <c r="G241" t="s">
        <v>317</v>
      </c>
      <c r="H241">
        <f ca="1">[1]!MAD(D222:D242)</f>
        <v>0</v>
      </c>
      <c r="M241" t="s">
        <v>317</v>
      </c>
      <c r="N241">
        <f ca="1">[1]!MAD(E222:E242)</f>
        <v>0</v>
      </c>
    </row>
    <row r="242" spans="3:31" x14ac:dyDescent="0.3">
      <c r="C242" s="2" t="s">
        <v>400</v>
      </c>
      <c r="D242" s="37" cm="1">
        <f t="array" aca="1" ref="D242" ca="1">INDIRECT("'" &amp; C242 &amp; "'!$E$165")</f>
        <v>2</v>
      </c>
      <c r="E242" s="37" cm="1">
        <f t="array" aca="1" ref="E242" ca="1">INDIRECT("'" &amp; C242 &amp; "'!$F$165")</f>
        <v>1</v>
      </c>
      <c r="G242" s="134" t="s">
        <v>318</v>
      </c>
      <c r="H242" s="134">
        <f ca="1">[1]!IQR(D222:D242,FALSE)</f>
        <v>1</v>
      </c>
      <c r="M242" s="134" t="s">
        <v>318</v>
      </c>
      <c r="N242" s="134">
        <f ca="1">[1]!IQR(E222:E242,FALSE)</f>
        <v>1</v>
      </c>
    </row>
    <row r="247" spans="3:31" x14ac:dyDescent="0.3">
      <c r="C247" s="2"/>
      <c r="D247" s="58" t="s">
        <v>202</v>
      </c>
      <c r="E247" s="2"/>
    </row>
    <row r="248" spans="3:31" x14ac:dyDescent="0.3">
      <c r="C248" s="2"/>
      <c r="D248" s="2"/>
      <c r="E248" s="2"/>
    </row>
    <row r="249" spans="3:31" x14ac:dyDescent="0.3">
      <c r="C249" s="2" t="s">
        <v>285</v>
      </c>
      <c r="D249" s="37" cm="1">
        <f t="array" aca="1" ref="D249" ca="1">INDIRECT("'" &amp; C249 &amp; "'!$E$166")</f>
        <v>4</v>
      </c>
      <c r="E249" s="37" cm="1">
        <f t="array" aca="1" ref="E249" ca="1">INDIRECT("'" &amp; C249 &amp; "'!$F$166")</f>
        <v>4</v>
      </c>
      <c r="G249" t="s">
        <v>300</v>
      </c>
      <c r="J249" t="s">
        <v>331</v>
      </c>
      <c r="M249" t="s">
        <v>300</v>
      </c>
      <c r="P249" t="s">
        <v>331</v>
      </c>
      <c r="S249" t="s">
        <v>338</v>
      </c>
      <c r="AC249" t="s">
        <v>358</v>
      </c>
    </row>
    <row r="250" spans="3:31" x14ac:dyDescent="0.3">
      <c r="C250" s="2" t="s">
        <v>286</v>
      </c>
      <c r="D250" s="37" cm="1">
        <f t="array" aca="1" ref="D250" ca="1">INDIRECT("'" &amp; C250 &amp; "'!$E$166")</f>
        <v>4</v>
      </c>
      <c r="E250" s="37" cm="1">
        <f t="array" aca="1" ref="E250" ca="1">INDIRECT("'" &amp; C250 &amp; "'!$F$166")</f>
        <v>4</v>
      </c>
    </row>
    <row r="251" spans="3:31" ht="15" thickBot="1" x14ac:dyDescent="0.35">
      <c r="C251" s="2" t="s">
        <v>287</v>
      </c>
      <c r="D251" s="37" cm="1">
        <f t="array" aca="1" ref="D251" ca="1">INDIRECT("'" &amp; C251 &amp; "'!$E$166")</f>
        <v>5</v>
      </c>
      <c r="E251" s="37" cm="1">
        <f t="array" aca="1" ref="E251" ca="1">INDIRECT("'" &amp; C251 &amp; "'!$F$166")</f>
        <v>5</v>
      </c>
      <c r="G251" s="135"/>
      <c r="H251" s="135" t="s">
        <v>379</v>
      </c>
      <c r="J251" s="135"/>
      <c r="K251" s="135" t="s">
        <v>379</v>
      </c>
      <c r="M251" s="135"/>
      <c r="N251" s="135" t="s">
        <v>379</v>
      </c>
      <c r="P251" s="135"/>
      <c r="Q251" s="135" t="s">
        <v>379</v>
      </c>
      <c r="S251" t="s">
        <v>339</v>
      </c>
      <c r="V251" t="s">
        <v>340</v>
      </c>
      <c r="W251">
        <v>0.05</v>
      </c>
      <c r="Y251" t="s">
        <v>341</v>
      </c>
      <c r="Z251">
        <v>0</v>
      </c>
      <c r="AD251" t="s">
        <v>381</v>
      </c>
      <c r="AE251" t="s">
        <v>382</v>
      </c>
    </row>
    <row r="252" spans="3:31" ht="15" thickTop="1" x14ac:dyDescent="0.3">
      <c r="C252" s="2" t="s">
        <v>288</v>
      </c>
      <c r="D252" s="37" cm="1">
        <f t="array" aca="1" ref="D252" ca="1">INDIRECT("'" &amp; C252 &amp; "'!$E$166")</f>
        <v>5</v>
      </c>
      <c r="E252" s="37" cm="1">
        <f t="array" aca="1" ref="E252" ca="1">INDIRECT("'" &amp; C252 &amp; "'!$F$166")</f>
        <v>5</v>
      </c>
      <c r="G252" t="s">
        <v>301</v>
      </c>
      <c r="H252" s="65">
        <f ca="1">AVERAGE(D249:D269)</f>
        <v>4.5238095238095237</v>
      </c>
      <c r="J252" t="s">
        <v>332</v>
      </c>
      <c r="K252">
        <f ca="1">[1]!SHAPIRO(D249:D269)</f>
        <v>0.57033745977678307</v>
      </c>
      <c r="M252" t="s">
        <v>301</v>
      </c>
      <c r="N252" s="65">
        <f ca="1">AVERAGE(E249:E269)</f>
        <v>4.7142857142857144</v>
      </c>
      <c r="P252" t="s">
        <v>332</v>
      </c>
      <c r="Q252">
        <f ca="1">[1]!SHAPIRO(E249:E269)</f>
        <v>0.57042221589151632</v>
      </c>
      <c r="S252" s="101" t="s">
        <v>342</v>
      </c>
      <c r="T252" s="101" t="s">
        <v>313</v>
      </c>
      <c r="U252" s="101" t="s">
        <v>301</v>
      </c>
      <c r="V252" s="101" t="s">
        <v>343</v>
      </c>
      <c r="W252" s="101" t="s">
        <v>344</v>
      </c>
      <c r="X252" s="101" t="s">
        <v>345</v>
      </c>
      <c r="Y252" s="101" t="s">
        <v>346</v>
      </c>
      <c r="Z252" s="101" t="s">
        <v>347</v>
      </c>
      <c r="AA252" s="101" t="s">
        <v>348</v>
      </c>
      <c r="AC252" t="s">
        <v>359</v>
      </c>
      <c r="AD252" s="115">
        <f ca="1">MEDIAN(D249:D269)</f>
        <v>5</v>
      </c>
      <c r="AE252" s="116">
        <f ca="1">MEDIAN(E249:E269)</f>
        <v>5</v>
      </c>
    </row>
    <row r="253" spans="3:31" x14ac:dyDescent="0.3">
      <c r="C253" s="2" t="s">
        <v>289</v>
      </c>
      <c r="D253" s="37" cm="1">
        <f t="array" aca="1" ref="D253" ca="1">INDIRECT("'" &amp; C253 &amp; "'!$E$166")</f>
        <v>5</v>
      </c>
      <c r="E253" s="37" cm="1">
        <f t="array" aca="1" ref="E253" ca="1">INDIRECT("'" &amp; C253 &amp; "'!$F$166")</f>
        <v>5</v>
      </c>
      <c r="G253" t="s">
        <v>302</v>
      </c>
      <c r="H253">
        <f ca="1">_xlfn.STDEV.S(D249:D269)/SQRT(COUNT(D249:D269))</f>
        <v>0.2025909274874538</v>
      </c>
      <c r="J253" t="s">
        <v>333</v>
      </c>
      <c r="K253">
        <f ca="1">[1]!SWTEST(D249:D269)</f>
        <v>9.7157375322787232E-7</v>
      </c>
      <c r="M253" t="s">
        <v>302</v>
      </c>
      <c r="N253">
        <f ca="1">_xlfn.STDEV.S(E249:E269)/SQRT(COUNT(E249:E269))</f>
        <v>0.1010152544552211</v>
      </c>
      <c r="P253" t="s">
        <v>333</v>
      </c>
      <c r="Q253">
        <f ca="1">[1]!SWTEST(E249:E269)</f>
        <v>9.73495230871535E-7</v>
      </c>
      <c r="S253" t="s">
        <v>379</v>
      </c>
      <c r="T253">
        <f ca="1">COUNT(D249:D269)</f>
        <v>21</v>
      </c>
      <c r="U253" s="65">
        <f ca="1">AVERAGE(D249:D269)</f>
        <v>4.5238095238095237</v>
      </c>
      <c r="V253">
        <f ca="1">_xlfn.STDEV.S(D249:D269)</f>
        <v>0.92838826032256683</v>
      </c>
    </row>
    <row r="254" spans="3:31" x14ac:dyDescent="0.3">
      <c r="C254" s="2" t="s">
        <v>290</v>
      </c>
      <c r="D254" s="37" cm="1">
        <f t="array" aca="1" ref="D254" ca="1">INDIRECT("'" &amp; C254 &amp; "'!$E$166")</f>
        <v>5</v>
      </c>
      <c r="E254" s="37" cm="1">
        <f t="array" aca="1" ref="E254" ca="1">INDIRECT("'" &amp; C254 &amp; "'!$F$166")</f>
        <v>5</v>
      </c>
      <c r="G254" t="s">
        <v>303</v>
      </c>
      <c r="H254" s="65">
        <f ca="1">MEDIAN(D249:D269)</f>
        <v>5</v>
      </c>
      <c r="J254" t="s">
        <v>334</v>
      </c>
      <c r="K254">
        <v>0.05</v>
      </c>
      <c r="M254" t="s">
        <v>303</v>
      </c>
      <c r="N254" s="65">
        <f ca="1">MEDIAN(E249:E269)</f>
        <v>5</v>
      </c>
      <c r="P254" t="s">
        <v>334</v>
      </c>
      <c r="Q254">
        <v>0.05</v>
      </c>
      <c r="S254" t="s">
        <v>380</v>
      </c>
      <c r="T254">
        <f ca="1">COUNT(E249:E269)</f>
        <v>21</v>
      </c>
      <c r="U254" s="65">
        <f ca="1">AVERAGE(E249:E269)</f>
        <v>4.7142857142857144</v>
      </c>
      <c r="V254">
        <f ca="1">_xlfn.STDEV.S(E249:E269)</f>
        <v>0.46291004988627582</v>
      </c>
      <c r="AC254" t="s">
        <v>360</v>
      </c>
      <c r="AD254" s="117">
        <f ca="1">SUMPRODUCT(--ISNUMBER(D249:D269),--ISNUMBER(E249:E269))</f>
        <v>21</v>
      </c>
    </row>
    <row r="255" spans="3:31" x14ac:dyDescent="0.3">
      <c r="C255" s="2" t="s">
        <v>291</v>
      </c>
      <c r="D255" s="37" cm="1">
        <f t="array" aca="1" ref="D255" ca="1">INDIRECT("'" &amp; C255 &amp; "'!$E$166")</f>
        <v>5</v>
      </c>
      <c r="E255" s="37" cm="1">
        <f t="array" aca="1" ref="E255" ca="1">INDIRECT("'" &amp; C255 &amp; "'!$F$166")</f>
        <v>5</v>
      </c>
      <c r="G255" t="s">
        <v>304</v>
      </c>
      <c r="H255">
        <f ca="1">MODE(D249:D269)</f>
        <v>5</v>
      </c>
      <c r="J255" s="134" t="s">
        <v>335</v>
      </c>
      <c r="K255" s="136" t="str">
        <f ca="1">IF(K253&lt;K254,"no","yes")</f>
        <v>no</v>
      </c>
      <c r="M255" t="s">
        <v>304</v>
      </c>
      <c r="N255">
        <f ca="1">MODE(E249:E269)</f>
        <v>5</v>
      </c>
      <c r="P255" s="134" t="s">
        <v>335</v>
      </c>
      <c r="Q255" s="136" t="str">
        <f ca="1">IF(Q253&lt;Q254,"no","yes")</f>
        <v>no</v>
      </c>
      <c r="S255" s="130" t="s">
        <v>349</v>
      </c>
      <c r="T255" s="130">
        <f ca="1">T254</f>
        <v>21</v>
      </c>
      <c r="U255" s="131">
        <f ca="1">U253-U254</f>
        <v>-0.19047619047619069</v>
      </c>
      <c r="V255" s="130">
        <f t="array" aca="1" ref="V255" ca="1">_xlfn.STDEV.S(D249:D269-E249:E269)</f>
        <v>0.6015852075182383</v>
      </c>
      <c r="W255" s="130">
        <f ca="1">V255/SQRT(T255)</f>
        <v>0.13127665478181164</v>
      </c>
      <c r="X255" s="130">
        <f ca="1">(U253-U254-Z251)/W255</f>
        <v>-1.450952500220025</v>
      </c>
      <c r="Y255" s="130">
        <f ca="1">T255-1</f>
        <v>20</v>
      </c>
      <c r="Z255" s="130">
        <f ca="1">ABS(U253-U254-Z251)/V255</f>
        <v>0.31662379343065217</v>
      </c>
      <c r="AA255" s="130">
        <f ca="1">SQRT(X255^2/(X255^2+Y255))</f>
        <v>0.30860669992418416</v>
      </c>
      <c r="AC255" t="s">
        <v>361</v>
      </c>
      <c r="AD255" s="74">
        <f ca="1">SUMPRODUCT(--ISNUMBER(D249:D269),--ISNUMBER(E249:E269),--(D249:D269&lt;&gt;E249:E269))</f>
        <v>2</v>
      </c>
    </row>
    <row r="256" spans="3:31" x14ac:dyDescent="0.3">
      <c r="C256" s="2" t="s">
        <v>292</v>
      </c>
      <c r="D256" s="37" cm="1">
        <f t="array" aca="1" ref="D256" ca="1">INDIRECT("'" &amp; C256 &amp; "'!$E$166")</f>
        <v>2</v>
      </c>
      <c r="E256" s="37" cm="1">
        <f t="array" aca="1" ref="E256" ca="1">INDIRECT("'" &amp; C256 &amp; "'!$F$166")</f>
        <v>4</v>
      </c>
      <c r="G256" t="s">
        <v>305</v>
      </c>
      <c r="H256">
        <f ca="1">_xlfn.STDEV.S(D249:D269)</f>
        <v>0.92838826032256683</v>
      </c>
      <c r="M256" t="s">
        <v>305</v>
      </c>
      <c r="N256">
        <f ca="1">_xlfn.STDEV.S(E249:E269)</f>
        <v>0.46291004988627582</v>
      </c>
      <c r="AC256" t="s">
        <v>362</v>
      </c>
      <c r="AD256" s="74">
        <f ca="1">IF(AD258&lt;=AD261,AD258,AD255*(AD255+1)/2)</f>
        <v>0</v>
      </c>
    </row>
    <row r="257" spans="3:31" ht="15" thickBot="1" x14ac:dyDescent="0.35">
      <c r="C257" s="2" t="s">
        <v>293</v>
      </c>
      <c r="D257" s="37" cm="1">
        <f t="array" aca="1" ref="D257" ca="1">INDIRECT("'" &amp; C257 &amp; "'!$E$166")</f>
        <v>5</v>
      </c>
      <c r="E257" s="37" cm="1">
        <f t="array" aca="1" ref="E257" ca="1">INDIRECT("'" &amp; C257 &amp; "'!$F$166")</f>
        <v>5</v>
      </c>
      <c r="G257" t="s">
        <v>306</v>
      </c>
      <c r="H257">
        <f ca="1">_xlfn.VAR.S(D249:D269)</f>
        <v>0.86190476190476206</v>
      </c>
      <c r="J257" t="s">
        <v>336</v>
      </c>
      <c r="M257" t="s">
        <v>306</v>
      </c>
      <c r="N257">
        <f ca="1">_xlfn.VAR.S(E249:E269)</f>
        <v>0.21428571428571436</v>
      </c>
      <c r="P257" t="s">
        <v>336</v>
      </c>
      <c r="S257" t="s">
        <v>350</v>
      </c>
      <c r="AC257" t="s">
        <v>363</v>
      </c>
      <c r="AD257" s="74">
        <f ca="1">AD255*(AD255+1)/2-AD256</f>
        <v>3</v>
      </c>
    </row>
    <row r="258" spans="3:31" ht="15" thickTop="1" x14ac:dyDescent="0.3">
      <c r="C258" s="2" t="s">
        <v>294</v>
      </c>
      <c r="D258" s="37" cm="1">
        <f t="array" aca="1" ref="D258" ca="1">INDIRECT("'" &amp; C258 &amp; "'!$E$166")</f>
        <v>5</v>
      </c>
      <c r="E258" s="37" cm="1">
        <f t="array" aca="1" ref="E258" ca="1">INDIRECT("'" &amp; C258 &amp; "'!$F$166")</f>
        <v>5</v>
      </c>
      <c r="G258" t="s">
        <v>307</v>
      </c>
      <c r="H258">
        <f ca="1">KURT(D249:D269)</f>
        <v>3.9664781134179132</v>
      </c>
      <c r="M258" t="s">
        <v>307</v>
      </c>
      <c r="N258">
        <f ca="1">KURT(E249:E269)</f>
        <v>-1.0643274853801161</v>
      </c>
      <c r="S258" s="101" t="s">
        <v>351</v>
      </c>
      <c r="T258" s="101" t="s">
        <v>333</v>
      </c>
      <c r="U258" s="101" t="s">
        <v>352</v>
      </c>
      <c r="V258" s="101" t="s">
        <v>353</v>
      </c>
      <c r="W258" s="101" t="s">
        <v>354</v>
      </c>
      <c r="X258" s="101" t="s">
        <v>355</v>
      </c>
      <c r="AC258" t="s">
        <v>364</v>
      </c>
      <c r="AD258" s="132">
        <f ca="1">[1]!SRANK(D249:D269,E249:E269)</f>
        <v>0</v>
      </c>
    </row>
    <row r="259" spans="3:31" x14ac:dyDescent="0.3">
      <c r="C259" s="2" t="s">
        <v>295</v>
      </c>
      <c r="D259" s="37" cm="1">
        <f t="array" aca="1" ref="D259" ca="1">INDIRECT("'" &amp; C259 &amp; "'!$E$166")</f>
        <v>5</v>
      </c>
      <c r="E259" s="37" cm="1">
        <f t="array" aca="1" ref="E259" ca="1">INDIRECT("'" &amp; C259 &amp; "'!$F$166")</f>
        <v>5</v>
      </c>
      <c r="G259" t="s">
        <v>308</v>
      </c>
      <c r="H259">
        <f ca="1">SKEW(D249:D269)</f>
        <v>-2.1483200761592687</v>
      </c>
      <c r="J259" s="130" t="s">
        <v>337</v>
      </c>
      <c r="K259" s="130">
        <f ca="1">[1]!DAGOSTINO(D249:D269)</f>
        <v>19.274164937285846</v>
      </c>
      <c r="M259" t="s">
        <v>308</v>
      </c>
      <c r="N259">
        <f ca="1">SKEW(E249:E269)</f>
        <v>-1.0232748471170308</v>
      </c>
      <c r="P259" s="130" t="s">
        <v>337</v>
      </c>
      <c r="Q259" s="130">
        <f ca="1">[1]!DAGOSTINO(E249:E269)</f>
        <v>6.1070907558640517</v>
      </c>
      <c r="S259" t="s">
        <v>356</v>
      </c>
      <c r="T259">
        <f ca="1">_xlfn.T.DIST.RT(ABS(X255),Y255)</f>
        <v>8.1148916537900337E-2</v>
      </c>
      <c r="U259">
        <f ca="1">_xlfn.T.INV.2T(W251*2,Y255)</f>
        <v>1.7247182429207868</v>
      </c>
      <c r="X259" s="70" t="str">
        <f ca="1">IF(T259&lt;W251,"yes","no")</f>
        <v>no</v>
      </c>
    </row>
    <row r="260" spans="3:31" x14ac:dyDescent="0.3">
      <c r="C260" s="2" t="s">
        <v>296</v>
      </c>
      <c r="D260" s="37" cm="1">
        <f t="array" aca="1" ref="D260" ca="1">INDIRECT("'" &amp; C260 &amp; "'!$E$166")</f>
        <v>4</v>
      </c>
      <c r="E260" s="37" cm="1">
        <f t="array" aca="1" ref="E260" ca="1">INDIRECT("'" &amp; C260 &amp; "'!$F$166")</f>
        <v>4</v>
      </c>
      <c r="G260" t="s">
        <v>309</v>
      </c>
      <c r="H260">
        <f ca="1">H261-H262</f>
        <v>3</v>
      </c>
      <c r="J260" t="s">
        <v>333</v>
      </c>
      <c r="K260">
        <f ca="1">[1]!DPTEST(D249:D269)</f>
        <v>6.5263184645392158E-5</v>
      </c>
      <c r="M260" t="s">
        <v>309</v>
      </c>
      <c r="N260">
        <f ca="1">N261-N262</f>
        <v>1</v>
      </c>
      <c r="P260" t="s">
        <v>333</v>
      </c>
      <c r="Q260">
        <f ca="1">[1]!DPTEST(E249:E269)</f>
        <v>4.7191316398125127E-2</v>
      </c>
      <c r="S260" t="s">
        <v>357</v>
      </c>
      <c r="T260">
        <f ca="1">_xlfn.T.DIST.2T(ABS(X255),Y255)</f>
        <v>0.16229783307580067</v>
      </c>
      <c r="U260">
        <f ca="1">_xlfn.T.INV.2T(W251,Y255)</f>
        <v>2.0859634472658648</v>
      </c>
      <c r="V260">
        <f ca="1">(U253-U254)-W255*U260</f>
        <v>-0.46431449383038936</v>
      </c>
      <c r="W260">
        <f ca="1">(U253-U254)+W255*U260</f>
        <v>8.3362112878007988E-2</v>
      </c>
      <c r="X260" s="70" t="str">
        <f ca="1">IF(T260&lt;W251,"yes","no")</f>
        <v>no</v>
      </c>
      <c r="AD260" s="70" t="s">
        <v>365</v>
      </c>
      <c r="AE260" s="70" t="s">
        <v>366</v>
      </c>
    </row>
    <row r="261" spans="3:31" x14ac:dyDescent="0.3">
      <c r="C261" s="2" t="s">
        <v>297</v>
      </c>
      <c r="D261" s="37" cm="1">
        <f t="array" aca="1" ref="D261" ca="1">INDIRECT("'" &amp; C261 &amp; "'!$E$166")</f>
        <v>4</v>
      </c>
      <c r="E261" s="37" cm="1">
        <f t="array" aca="1" ref="E261" ca="1">INDIRECT("'" &amp; C261 &amp; "'!$F$166")</f>
        <v>4</v>
      </c>
      <c r="G261" t="s">
        <v>310</v>
      </c>
      <c r="H261" s="65">
        <f ca="1">MAX(D249:D269)</f>
        <v>5</v>
      </c>
      <c r="J261" t="s">
        <v>334</v>
      </c>
      <c r="K261">
        <v>0.05</v>
      </c>
      <c r="M261" t="s">
        <v>310</v>
      </c>
      <c r="N261" s="65">
        <f ca="1">MAX(E249:E269)</f>
        <v>5</v>
      </c>
      <c r="P261" t="s">
        <v>334</v>
      </c>
      <c r="Q261">
        <v>0.05</v>
      </c>
      <c r="S261" s="130"/>
      <c r="T261" s="130"/>
      <c r="U261" s="130"/>
      <c r="V261" s="130"/>
      <c r="W261" s="130"/>
      <c r="X261" s="130"/>
      <c r="AC261" t="s">
        <v>367</v>
      </c>
      <c r="AD261" s="117">
        <f ca="1">AD255*(AD255+1)/4</f>
        <v>1.5</v>
      </c>
    </row>
    <row r="262" spans="3:31" x14ac:dyDescent="0.3">
      <c r="C262" s="2" t="s">
        <v>298</v>
      </c>
      <c r="D262" s="37" cm="1">
        <f t="array" aca="1" ref="D262" ca="1">INDIRECT("'" &amp; C262 &amp; "'!$E$166")</f>
        <v>5</v>
      </c>
      <c r="E262" s="37" cm="1">
        <f t="array" aca="1" ref="E262" ca="1">INDIRECT("'" &amp; C262 &amp; "'!$F$166")</f>
        <v>5</v>
      </c>
      <c r="G262" t="s">
        <v>311</v>
      </c>
      <c r="H262" s="65">
        <f ca="1">MIN(D249:D269)</f>
        <v>2</v>
      </c>
      <c r="J262" s="134" t="s">
        <v>335</v>
      </c>
      <c r="K262" s="136" t="str">
        <f ca="1">IF(K260&lt;K261,"no","yes")</f>
        <v>no</v>
      </c>
      <c r="M262" t="s">
        <v>311</v>
      </c>
      <c r="N262" s="65">
        <f ca="1">MIN(E249:E269)</f>
        <v>4</v>
      </c>
      <c r="P262" s="134" t="s">
        <v>335</v>
      </c>
      <c r="Q262" s="136" t="str">
        <f ca="1">IF(Q260&lt;Q261,"no","yes")</f>
        <v>no</v>
      </c>
      <c r="AC262" t="s">
        <v>368</v>
      </c>
      <c r="AD262" s="74">
        <f ca="1">SQRT(AD261*(2*AD255+1)/6-[1]!TiesCorrection(D249:D269,E249:E269,1)/48)</f>
        <v>1.0606601717798212</v>
      </c>
      <c r="AE262" t="s">
        <v>369</v>
      </c>
    </row>
    <row r="263" spans="3:31" x14ac:dyDescent="0.3">
      <c r="C263" s="2" t="s">
        <v>299</v>
      </c>
      <c r="D263" s="37" cm="1">
        <f t="array" aca="1" ref="D263" ca="1">INDIRECT("'" &amp; C263 &amp; "'!$E$166")</f>
        <v>5</v>
      </c>
      <c r="E263" s="37" cm="1">
        <f t="array" aca="1" ref="E263" ca="1">INDIRECT("'" &amp; C263 &amp; "'!$F$166")</f>
        <v>5</v>
      </c>
      <c r="G263" t="s">
        <v>312</v>
      </c>
      <c r="H263" s="65">
        <f ca="1">SUM(D249:D269)</f>
        <v>95</v>
      </c>
      <c r="M263" t="s">
        <v>312</v>
      </c>
      <c r="N263" s="65">
        <f ca="1">SUM(E249:E269)</f>
        <v>99</v>
      </c>
      <c r="AC263" t="s">
        <v>370</v>
      </c>
      <c r="AD263" s="74">
        <f ca="1">ABS(ABS(AD258-AD261)-1/2)/AD262</f>
        <v>0.94280904158206347</v>
      </c>
      <c r="AE263" t="s">
        <v>371</v>
      </c>
    </row>
    <row r="264" spans="3:31" x14ac:dyDescent="0.3">
      <c r="C264" s="2" t="s">
        <v>395</v>
      </c>
      <c r="D264" s="37" cm="1">
        <f t="array" aca="1" ref="D264" ca="1">INDIRECT("'" &amp; C264 &amp; "'!$E$166")</f>
        <v>5</v>
      </c>
      <c r="E264" s="37" cm="1">
        <f t="array" aca="1" ref="E264" ca="1">INDIRECT("'" &amp; C264 &amp; "'!$F$166")</f>
        <v>5</v>
      </c>
      <c r="G264" t="s">
        <v>313</v>
      </c>
      <c r="H264">
        <f ca="1">COUNT(D249:D269)</f>
        <v>21</v>
      </c>
      <c r="M264" t="s">
        <v>313</v>
      </c>
      <c r="N264">
        <f ca="1">COUNT(E249:E269)</f>
        <v>21</v>
      </c>
      <c r="AC264" t="s">
        <v>372</v>
      </c>
      <c r="AD264" s="74">
        <f ca="1">AD263/SQRT(AD255)</f>
        <v>0.66666666666666674</v>
      </c>
    </row>
    <row r="265" spans="3:31" x14ac:dyDescent="0.3">
      <c r="C265" s="2" t="s">
        <v>396</v>
      </c>
      <c r="D265" s="37" cm="1">
        <f t="array" aca="1" ref="D265" ca="1">INDIRECT("'" &amp; C265 &amp; "'!$E$166")</f>
        <v>5</v>
      </c>
      <c r="E265" s="37" cm="1">
        <f t="array" aca="1" ref="E265" ca="1">INDIRECT("'" &amp; C265 &amp; "'!$F$166")</f>
        <v>5</v>
      </c>
      <c r="G265" t="s">
        <v>314</v>
      </c>
      <c r="H265">
        <f ca="1">GEOMEAN(D249:D269)</f>
        <v>4.3914900773615901</v>
      </c>
      <c r="M265" t="s">
        <v>314</v>
      </c>
      <c r="N265">
        <f ca="1">GEOMEAN(E249:E269)</f>
        <v>4.6911727854354153</v>
      </c>
      <c r="AC265" t="s">
        <v>373</v>
      </c>
      <c r="AD265" s="117">
        <f ca="1">1-_xlfn.NORM.S.DIST(AD263,TRUE)</f>
        <v>0.1728892930755801</v>
      </c>
      <c r="AE265" s="118">
        <f ca="1">2*AD265</f>
        <v>0.34577858615116019</v>
      </c>
    </row>
    <row r="266" spans="3:31" x14ac:dyDescent="0.3">
      <c r="C266" s="2" t="s">
        <v>397</v>
      </c>
      <c r="D266" s="37" cm="1">
        <f t="array" aca="1" ref="D266" ca="1">INDIRECT("'" &amp; C266 &amp; "'!$E$166")</f>
        <v>5</v>
      </c>
      <c r="E266" s="37" cm="1">
        <f t="array" aca="1" ref="E266" ca="1">INDIRECT("'" &amp; C266 &amp; "'!$F$166")</f>
        <v>5</v>
      </c>
      <c r="G266" t="s">
        <v>315</v>
      </c>
      <c r="H266">
        <f ca="1">HARMEAN(D249:D269)</f>
        <v>4.1999999999999993</v>
      </c>
      <c r="M266" t="s">
        <v>315</v>
      </c>
      <c r="N266">
        <f ca="1">HARMEAN(E249:E269)</f>
        <v>4.6666666666666661</v>
      </c>
      <c r="AC266" t="s">
        <v>374</v>
      </c>
      <c r="AD266" s="74">
        <f ca="1">[1]!SRDIST(AD258,AD255,1)</f>
        <v>0.25</v>
      </c>
      <c r="AE266" s="77">
        <f ca="1">2*AD266</f>
        <v>0.5</v>
      </c>
    </row>
    <row r="267" spans="3:31" x14ac:dyDescent="0.3">
      <c r="C267" s="2" t="s">
        <v>398</v>
      </c>
      <c r="D267" s="37" cm="1">
        <f t="array" aca="1" ref="D267" ca="1">INDIRECT("'" &amp; C267 &amp; "'!$E$166")</f>
        <v>5</v>
      </c>
      <c r="E267" s="37" cm="1">
        <f t="array" aca="1" ref="E267" ca="1">INDIRECT("'" &amp; C267 &amp; "'!$F$166")</f>
        <v>5</v>
      </c>
      <c r="G267" t="s">
        <v>316</v>
      </c>
      <c r="H267">
        <f ca="1">AVEDEV(D249:D269)</f>
        <v>0.6802721088435375</v>
      </c>
      <c r="M267" t="s">
        <v>316</v>
      </c>
      <c r="N267">
        <f ca="1">AVEDEV(E249:E269)</f>
        <v>0.40816326530612235</v>
      </c>
      <c r="AC267" t="s">
        <v>375</v>
      </c>
      <c r="AD267" s="132" t="s">
        <v>376</v>
      </c>
      <c r="AE267" s="133" t="s">
        <v>376</v>
      </c>
    </row>
    <row r="268" spans="3:31" x14ac:dyDescent="0.3">
      <c r="C268" s="2" t="s">
        <v>399</v>
      </c>
      <c r="D268" s="37" cm="1">
        <f t="array" aca="1" ref="D268" ca="1">INDIRECT("'" &amp; C268 &amp; "'!$E$166")</f>
        <v>2</v>
      </c>
      <c r="E268" s="37" cm="1">
        <f t="array" aca="1" ref="E268" ca="1">INDIRECT("'" &amp; C268 &amp; "'!$F$166")</f>
        <v>4</v>
      </c>
      <c r="G268" t="s">
        <v>317</v>
      </c>
      <c r="H268">
        <f ca="1">[1]!MAD(D249:D269)</f>
        <v>0</v>
      </c>
      <c r="M268" t="s">
        <v>317</v>
      </c>
      <c r="N268">
        <f ca="1">[1]!MAD(E249:E269)</f>
        <v>0</v>
      </c>
    </row>
    <row r="269" spans="3:31" x14ac:dyDescent="0.3">
      <c r="C269" s="2" t="s">
        <v>400</v>
      </c>
      <c r="D269" s="37" cm="1">
        <f t="array" aca="1" ref="D269" ca="1">INDIRECT("'" &amp; C269 &amp; "'!$E$166")</f>
        <v>5</v>
      </c>
      <c r="E269" s="37" cm="1">
        <f t="array" aca="1" ref="E269" ca="1">INDIRECT("'" &amp; C269 &amp; "'!$F$166")</f>
        <v>5</v>
      </c>
      <c r="G269" s="134" t="s">
        <v>318</v>
      </c>
      <c r="H269" s="134">
        <f ca="1">[1]!IQR(D249:D269,FALSE)</f>
        <v>1</v>
      </c>
      <c r="M269" s="134" t="s">
        <v>318</v>
      </c>
      <c r="N269" s="134">
        <f ca="1">[1]!IQR(E249:E269,FALSE)</f>
        <v>1</v>
      </c>
    </row>
    <row r="276" spans="3:31" x14ac:dyDescent="0.3">
      <c r="C276" s="2"/>
      <c r="D276" s="58" t="s">
        <v>204</v>
      </c>
      <c r="E276" s="2"/>
    </row>
    <row r="277" spans="3:31" x14ac:dyDescent="0.3">
      <c r="C277" s="2"/>
      <c r="D277" s="2"/>
      <c r="E277" s="2"/>
    </row>
    <row r="278" spans="3:31" x14ac:dyDescent="0.3">
      <c r="C278" s="2" t="s">
        <v>285</v>
      </c>
      <c r="D278" s="37" cm="1">
        <f t="array" aca="1" ref="D278" ca="1">INDIRECT("'" &amp; C278 &amp; "'!$E$167")</f>
        <v>1</v>
      </c>
      <c r="E278" s="37" cm="1">
        <f t="array" aca="1" ref="E278" ca="1">INDIRECT("'" &amp; C278 &amp; "'!$F$167")</f>
        <v>2</v>
      </c>
      <c r="G278" t="s">
        <v>300</v>
      </c>
      <c r="J278" t="s">
        <v>331</v>
      </c>
      <c r="M278" t="s">
        <v>300</v>
      </c>
      <c r="P278" t="s">
        <v>331</v>
      </c>
      <c r="S278" t="s">
        <v>338</v>
      </c>
      <c r="AC278" t="s">
        <v>358</v>
      </c>
    </row>
    <row r="279" spans="3:31" x14ac:dyDescent="0.3">
      <c r="C279" s="2" t="s">
        <v>286</v>
      </c>
      <c r="D279" s="37" cm="1">
        <f t="array" aca="1" ref="D279" ca="1">INDIRECT("'" &amp; C279 &amp; "'!$E$167")</f>
        <v>1</v>
      </c>
      <c r="E279" s="37" cm="1">
        <f t="array" aca="1" ref="E279" ca="1">INDIRECT("'" &amp; C279 &amp; "'!$F$167")</f>
        <v>1</v>
      </c>
    </row>
    <row r="280" spans="3:31" ht="15" thickBot="1" x14ac:dyDescent="0.35">
      <c r="C280" s="2" t="s">
        <v>287</v>
      </c>
      <c r="D280" s="37" cm="1">
        <f t="array" aca="1" ref="D280" ca="1">INDIRECT("'" &amp; C280 &amp; "'!$E$167")</f>
        <v>1</v>
      </c>
      <c r="E280" s="37" cm="1">
        <f t="array" aca="1" ref="E280" ca="1">INDIRECT("'" &amp; C280 &amp; "'!$F$167")</f>
        <v>1</v>
      </c>
      <c r="G280" s="135"/>
      <c r="H280" s="135" t="s">
        <v>379</v>
      </c>
      <c r="J280" s="135"/>
      <c r="K280" s="135" t="s">
        <v>379</v>
      </c>
      <c r="M280" s="135"/>
      <c r="N280" s="135" t="s">
        <v>379</v>
      </c>
      <c r="P280" s="135"/>
      <c r="Q280" s="135" t="s">
        <v>379</v>
      </c>
      <c r="S280" t="s">
        <v>339</v>
      </c>
      <c r="V280" t="s">
        <v>340</v>
      </c>
      <c r="W280">
        <v>0.05</v>
      </c>
      <c r="Y280" t="s">
        <v>341</v>
      </c>
      <c r="Z280">
        <v>0</v>
      </c>
      <c r="AD280" t="s">
        <v>381</v>
      </c>
      <c r="AE280" t="s">
        <v>382</v>
      </c>
    </row>
    <row r="281" spans="3:31" ht="15" thickTop="1" x14ac:dyDescent="0.3">
      <c r="C281" s="2" t="s">
        <v>288</v>
      </c>
      <c r="D281" s="37" cm="1">
        <f t="array" aca="1" ref="D281" ca="1">INDIRECT("'" &amp; C281 &amp; "'!$E$167")</f>
        <v>2</v>
      </c>
      <c r="E281" s="37" cm="1">
        <f t="array" aca="1" ref="E281" ca="1">INDIRECT("'" &amp; C281 &amp; "'!$F$167")</f>
        <v>1</v>
      </c>
      <c r="G281" t="s">
        <v>301</v>
      </c>
      <c r="H281" s="65">
        <f ca="1">AVERAGE(D278:D298)</f>
        <v>1.1428571428571428</v>
      </c>
      <c r="J281" t="s">
        <v>332</v>
      </c>
      <c r="K281">
        <f ca="1">[1]!SHAPIRO(D278:D298)</f>
        <v>0.42207709464478399</v>
      </c>
      <c r="M281" t="s">
        <v>301</v>
      </c>
      <c r="N281" s="65">
        <f ca="1">AVERAGE(E278:E298)</f>
        <v>1.0476190476190477</v>
      </c>
      <c r="P281" t="s">
        <v>332</v>
      </c>
      <c r="Q281">
        <f ca="1">[1]!SHAPIRO(E278:E298)</f>
        <v>0.22840729806516749</v>
      </c>
      <c r="S281" s="101" t="s">
        <v>342</v>
      </c>
      <c r="T281" s="101" t="s">
        <v>313</v>
      </c>
      <c r="U281" s="101" t="s">
        <v>301</v>
      </c>
      <c r="V281" s="101" t="s">
        <v>343</v>
      </c>
      <c r="W281" s="101" t="s">
        <v>344</v>
      </c>
      <c r="X281" s="101" t="s">
        <v>345</v>
      </c>
      <c r="Y281" s="101" t="s">
        <v>346</v>
      </c>
      <c r="Z281" s="101" t="s">
        <v>347</v>
      </c>
      <c r="AA281" s="101" t="s">
        <v>348</v>
      </c>
      <c r="AC281" t="s">
        <v>359</v>
      </c>
      <c r="AD281" s="115">
        <f ca="1">MEDIAN(D278:D298)</f>
        <v>1</v>
      </c>
      <c r="AE281" s="116">
        <f ca="1">MEDIAN(E278:E298)</f>
        <v>1</v>
      </c>
    </row>
    <row r="282" spans="3:31" x14ac:dyDescent="0.3">
      <c r="C282" s="2" t="s">
        <v>289</v>
      </c>
      <c r="D282" s="37" cm="1">
        <f t="array" aca="1" ref="D282" ca="1">INDIRECT("'" &amp; C282 &amp; "'!$E$167")</f>
        <v>1</v>
      </c>
      <c r="E282" s="37" cm="1">
        <f t="array" aca="1" ref="E282" ca="1">INDIRECT("'" &amp; C282 &amp; "'!$F$167")</f>
        <v>1</v>
      </c>
      <c r="G282" t="s">
        <v>302</v>
      </c>
      <c r="H282">
        <f ca="1">_xlfn.STDEV.S(D278:D298)/SQRT(COUNT(D278:D298))</f>
        <v>7.8246079643595173E-2</v>
      </c>
      <c r="J282" t="s">
        <v>333</v>
      </c>
      <c r="K282">
        <f ca="1">[1]!SWTEST(D278:D298)</f>
        <v>4.1945773521234742E-8</v>
      </c>
      <c r="M282" t="s">
        <v>302</v>
      </c>
      <c r="N282">
        <f ca="1">_xlfn.STDEV.S(E278:E298)/SQRT(COUNT(E278:E298))</f>
        <v>4.761904761904763E-2</v>
      </c>
      <c r="P282" t="s">
        <v>333</v>
      </c>
      <c r="Q282">
        <f ca="1">[1]!SWTEST(E278:E298)</f>
        <v>1.4005738790956457E-9</v>
      </c>
      <c r="S282" t="s">
        <v>379</v>
      </c>
      <c r="T282">
        <f ca="1">COUNT(D278:D298)</f>
        <v>21</v>
      </c>
      <c r="U282" s="65">
        <f ca="1">AVERAGE(D278:D298)</f>
        <v>1.1428571428571428</v>
      </c>
      <c r="V282">
        <f ca="1">_xlfn.STDEV.S(D278:D298)</f>
        <v>0.35856858280031817</v>
      </c>
    </row>
    <row r="283" spans="3:31" x14ac:dyDescent="0.3">
      <c r="C283" s="2" t="s">
        <v>290</v>
      </c>
      <c r="D283" s="37" cm="1">
        <f t="array" aca="1" ref="D283" ca="1">INDIRECT("'" &amp; C283 &amp; "'!$E$167")</f>
        <v>1</v>
      </c>
      <c r="E283" s="37" cm="1">
        <f t="array" aca="1" ref="E283" ca="1">INDIRECT("'" &amp; C283 &amp; "'!$F$167")</f>
        <v>1</v>
      </c>
      <c r="G283" t="s">
        <v>303</v>
      </c>
      <c r="H283" s="65">
        <f ca="1">MEDIAN(D278:D298)</f>
        <v>1</v>
      </c>
      <c r="J283" t="s">
        <v>334</v>
      </c>
      <c r="K283">
        <v>0.05</v>
      </c>
      <c r="M283" t="s">
        <v>303</v>
      </c>
      <c r="N283" s="65">
        <f ca="1">MEDIAN(E278:E298)</f>
        <v>1</v>
      </c>
      <c r="P283" t="s">
        <v>334</v>
      </c>
      <c r="Q283">
        <v>0.05</v>
      </c>
      <c r="S283" t="s">
        <v>380</v>
      </c>
      <c r="T283">
        <f ca="1">COUNT(E278:E298)</f>
        <v>21</v>
      </c>
      <c r="U283" s="65">
        <f ca="1">AVERAGE(E278:E298)</f>
        <v>1.0476190476190477</v>
      </c>
      <c r="V283">
        <f ca="1">_xlfn.STDEV.S(E278:E298)</f>
        <v>0.21821789023599242</v>
      </c>
      <c r="AC283" t="s">
        <v>360</v>
      </c>
      <c r="AD283" s="117">
        <f ca="1">SUMPRODUCT(--ISNUMBER(D278:D298),--ISNUMBER(E278:E298))</f>
        <v>21</v>
      </c>
    </row>
    <row r="284" spans="3:31" x14ac:dyDescent="0.3">
      <c r="C284" s="2" t="s">
        <v>291</v>
      </c>
      <c r="D284" s="37" cm="1">
        <f t="array" aca="1" ref="D284" ca="1">INDIRECT("'" &amp; C284 &amp; "'!$E$167")</f>
        <v>1</v>
      </c>
      <c r="E284" s="37" cm="1">
        <f t="array" aca="1" ref="E284" ca="1">INDIRECT("'" &amp; C284 &amp; "'!$F$167")</f>
        <v>1</v>
      </c>
      <c r="G284" t="s">
        <v>304</v>
      </c>
      <c r="H284">
        <f ca="1">MODE(D278:D298)</f>
        <v>1</v>
      </c>
      <c r="J284" s="134" t="s">
        <v>335</v>
      </c>
      <c r="K284" s="136" t="str">
        <f ca="1">IF(K282&lt;K283,"no","yes")</f>
        <v>no</v>
      </c>
      <c r="M284" t="s">
        <v>304</v>
      </c>
      <c r="N284">
        <f ca="1">MODE(E278:E298)</f>
        <v>1</v>
      </c>
      <c r="P284" s="134" t="s">
        <v>335</v>
      </c>
      <c r="Q284" s="136" t="str">
        <f ca="1">IF(Q282&lt;Q283,"no","yes")</f>
        <v>no</v>
      </c>
      <c r="S284" s="130" t="s">
        <v>349</v>
      </c>
      <c r="T284" s="130">
        <f ca="1">T283</f>
        <v>21</v>
      </c>
      <c r="U284" s="131">
        <f ca="1">U282-U283</f>
        <v>9.5238095238095122E-2</v>
      </c>
      <c r="V284" s="130">
        <f t="array" aca="1" ref="V284" ca="1">_xlfn.STDEV.S(D278:D298-E278:E298)</f>
        <v>0.43643578047198472</v>
      </c>
      <c r="W284" s="130">
        <f ca="1">V284/SQRT(T284)</f>
        <v>9.5238095238095233E-2</v>
      </c>
      <c r="X284" s="130">
        <f ca="1">(U282-U283-Z280)/W284</f>
        <v>0.99999999999999889</v>
      </c>
      <c r="Y284" s="130">
        <f ca="1">T284-1</f>
        <v>20</v>
      </c>
      <c r="Z284" s="130">
        <f ca="1">ABS(U282-U283-Z280)/V284</f>
        <v>0.21821789023599214</v>
      </c>
      <c r="AA284" s="130">
        <f ca="1">SQRT(X284^2/(X284^2+Y284))</f>
        <v>0.21821789023599214</v>
      </c>
      <c r="AC284" t="s">
        <v>361</v>
      </c>
      <c r="AD284" s="74">
        <f ca="1">SUMPRODUCT(--ISNUMBER(D278:D298),--ISNUMBER(E278:E298),--(D278:D298&lt;&gt;E278:E298))</f>
        <v>4</v>
      </c>
    </row>
    <row r="285" spans="3:31" x14ac:dyDescent="0.3">
      <c r="C285" s="2" t="s">
        <v>292</v>
      </c>
      <c r="D285" s="37" cm="1">
        <f t="array" aca="1" ref="D285" ca="1">INDIRECT("'" &amp; C285 &amp; "'!$E$167")</f>
        <v>1</v>
      </c>
      <c r="E285" s="37" cm="1">
        <f t="array" aca="1" ref="E285" ca="1">INDIRECT("'" &amp; C285 &amp; "'!$F$167")</f>
        <v>1</v>
      </c>
      <c r="G285" t="s">
        <v>305</v>
      </c>
      <c r="H285">
        <f ca="1">_xlfn.STDEV.S(D278:D298)</f>
        <v>0.35856858280031817</v>
      </c>
      <c r="M285" t="s">
        <v>305</v>
      </c>
      <c r="N285">
        <f ca="1">_xlfn.STDEV.S(E278:E298)</f>
        <v>0.21821789023599242</v>
      </c>
      <c r="AC285" t="s">
        <v>362</v>
      </c>
      <c r="AD285" s="74">
        <f ca="1">IF(AD287&lt;=AD290,AD287,AD284*(AD284+1)/2)</f>
        <v>2.5</v>
      </c>
    </row>
    <row r="286" spans="3:31" ht="15" thickBot="1" x14ac:dyDescent="0.35">
      <c r="C286" s="2" t="s">
        <v>293</v>
      </c>
      <c r="D286" s="37" cm="1">
        <f t="array" aca="1" ref="D286" ca="1">INDIRECT("'" &amp; C286 &amp; "'!$E$167")</f>
        <v>1</v>
      </c>
      <c r="E286" s="37" cm="1">
        <f t="array" aca="1" ref="E286" ca="1">INDIRECT("'" &amp; C286 &amp; "'!$F$167")</f>
        <v>1</v>
      </c>
      <c r="G286" t="s">
        <v>306</v>
      </c>
      <c r="H286">
        <f ca="1">_xlfn.VAR.S(D278:D298)</f>
        <v>0.12857142857142864</v>
      </c>
      <c r="J286" t="s">
        <v>336</v>
      </c>
      <c r="M286" t="s">
        <v>306</v>
      </c>
      <c r="N286">
        <f ca="1">_xlfn.VAR.S(E278:E298)</f>
        <v>4.761904761904763E-2</v>
      </c>
      <c r="P286" t="s">
        <v>336</v>
      </c>
      <c r="S286" t="s">
        <v>350</v>
      </c>
      <c r="AC286" t="s">
        <v>363</v>
      </c>
      <c r="AD286" s="74">
        <f ca="1">AD284*(AD284+1)/2-AD285</f>
        <v>7.5</v>
      </c>
    </row>
    <row r="287" spans="3:31" ht="15" thickTop="1" x14ac:dyDescent="0.3">
      <c r="C287" s="2" t="s">
        <v>294</v>
      </c>
      <c r="D287" s="37" cm="1">
        <f t="array" aca="1" ref="D287" ca="1">INDIRECT("'" &amp; C287 &amp; "'!$E$167")</f>
        <v>1</v>
      </c>
      <c r="E287" s="37" cm="1">
        <f t="array" aca="1" ref="E287" ca="1">INDIRECT("'" &amp; C287 &amp; "'!$F$167")</f>
        <v>1</v>
      </c>
      <c r="G287" t="s">
        <v>307</v>
      </c>
      <c r="H287">
        <f ca="1">KURT(D278:D298)</f>
        <v>3.1384015594541874</v>
      </c>
      <c r="M287" t="s">
        <v>307</v>
      </c>
      <c r="N287">
        <f ca="1">KURT(E278:E298)</f>
        <v>20.999999999999954</v>
      </c>
      <c r="S287" s="101" t="s">
        <v>351</v>
      </c>
      <c r="T287" s="101" t="s">
        <v>333</v>
      </c>
      <c r="U287" s="101" t="s">
        <v>352</v>
      </c>
      <c r="V287" s="101" t="s">
        <v>353</v>
      </c>
      <c r="W287" s="101" t="s">
        <v>354</v>
      </c>
      <c r="X287" s="101" t="s">
        <v>355</v>
      </c>
      <c r="AC287" t="s">
        <v>364</v>
      </c>
      <c r="AD287" s="132">
        <f ca="1">[1]!SRANK(D278:D298,E278:E298)</f>
        <v>2.5</v>
      </c>
    </row>
    <row r="288" spans="3:31" x14ac:dyDescent="0.3">
      <c r="C288" s="2" t="s">
        <v>295</v>
      </c>
      <c r="D288" s="37" cm="1">
        <f t="array" aca="1" ref="D288" ca="1">INDIRECT("'" &amp; C288 &amp; "'!$E$167")</f>
        <v>1</v>
      </c>
      <c r="E288" s="37" cm="1">
        <f t="array" aca="1" ref="E288" ca="1">INDIRECT("'" &amp; C288 &amp; "'!$F$167")</f>
        <v>1</v>
      </c>
      <c r="G288" t="s">
        <v>308</v>
      </c>
      <c r="H288">
        <f ca="1">SKEW(D278:D298)</f>
        <v>2.2017369119317776</v>
      </c>
      <c r="J288" s="130" t="s">
        <v>337</v>
      </c>
      <c r="K288" s="130">
        <f ca="1">[1]!DAGOSTINO(D278:D298)</f>
        <v>18.290597252267737</v>
      </c>
      <c r="M288" t="s">
        <v>308</v>
      </c>
      <c r="N288">
        <f ca="1">SKEW(E278:E298)</f>
        <v>4.5825756949558292</v>
      </c>
      <c r="P288" s="130" t="s">
        <v>337</v>
      </c>
      <c r="Q288" s="130">
        <f ca="1">[1]!DAGOSTINO(E278:E298)</f>
        <v>53.772832041630863</v>
      </c>
      <c r="S288" t="s">
        <v>356</v>
      </c>
      <c r="T288">
        <f ca="1">_xlfn.T.DIST.RT(ABS(X284),Y284)</f>
        <v>0.16462828858585477</v>
      </c>
      <c r="U288">
        <f ca="1">_xlfn.T.INV.2T(W280*2,Y284)</f>
        <v>1.7247182429207868</v>
      </c>
      <c r="X288" s="70" t="str">
        <f ca="1">IF(T288&lt;W280,"yes","no")</f>
        <v>no</v>
      </c>
    </row>
    <row r="289" spans="3:31" x14ac:dyDescent="0.3">
      <c r="C289" s="2" t="s">
        <v>296</v>
      </c>
      <c r="D289" s="37" cm="1">
        <f t="array" aca="1" ref="D289" ca="1">INDIRECT("'" &amp; C289 &amp; "'!$E$167")</f>
        <v>2</v>
      </c>
      <c r="E289" s="37" cm="1">
        <f t="array" aca="1" ref="E289" ca="1">INDIRECT("'" &amp; C289 &amp; "'!$F$167")</f>
        <v>1</v>
      </c>
      <c r="G289" t="s">
        <v>309</v>
      </c>
      <c r="H289">
        <f ca="1">H290-H291</f>
        <v>1</v>
      </c>
      <c r="J289" t="s">
        <v>333</v>
      </c>
      <c r="K289">
        <f ca="1">[1]!DPTEST(D278:D298)</f>
        <v>1.0672035747660846E-4</v>
      </c>
      <c r="M289" t="s">
        <v>309</v>
      </c>
      <c r="N289">
        <f ca="1">N290-N291</f>
        <v>1</v>
      </c>
      <c r="P289" t="s">
        <v>333</v>
      </c>
      <c r="Q289">
        <f ca="1">[1]!DPTEST(E278:E298)</f>
        <v>2.1056489885040719E-12</v>
      </c>
      <c r="S289" t="s">
        <v>357</v>
      </c>
      <c r="T289">
        <f ca="1">_xlfn.T.DIST.2T(ABS(X284),Y284)</f>
        <v>0.32925657717170953</v>
      </c>
      <c r="U289">
        <f ca="1">_xlfn.T.INV.2T(W280,Y284)</f>
        <v>2.0859634472658648</v>
      </c>
      <c r="V289">
        <f ca="1">(U282-U283)-W284*U289</f>
        <v>-0.10342509021579677</v>
      </c>
      <c r="W289">
        <f ca="1">(U282-U283)+W284*U289</f>
        <v>0.29390128069198701</v>
      </c>
      <c r="X289" s="70" t="str">
        <f ca="1">IF(T289&lt;W280,"yes","no")</f>
        <v>no</v>
      </c>
      <c r="AD289" s="70" t="s">
        <v>365</v>
      </c>
      <c r="AE289" s="70" t="s">
        <v>366</v>
      </c>
    </row>
    <row r="290" spans="3:31" x14ac:dyDescent="0.3">
      <c r="C290" s="2" t="s">
        <v>297</v>
      </c>
      <c r="D290" s="37" cm="1">
        <f t="array" aca="1" ref="D290" ca="1">INDIRECT("'" &amp; C290 &amp; "'!$E$167")</f>
        <v>1</v>
      </c>
      <c r="E290" s="37" cm="1">
        <f t="array" aca="1" ref="E290" ca="1">INDIRECT("'" &amp; C290 &amp; "'!$F$167")</f>
        <v>1</v>
      </c>
      <c r="G290" t="s">
        <v>310</v>
      </c>
      <c r="H290" s="65">
        <f ca="1">MAX(D278:D298)</f>
        <v>2</v>
      </c>
      <c r="J290" t="s">
        <v>334</v>
      </c>
      <c r="K290">
        <v>0.05</v>
      </c>
      <c r="M290" t="s">
        <v>310</v>
      </c>
      <c r="N290" s="65">
        <f ca="1">MAX(E278:E298)</f>
        <v>2</v>
      </c>
      <c r="P290" t="s">
        <v>334</v>
      </c>
      <c r="Q290">
        <v>0.05</v>
      </c>
      <c r="S290" s="130"/>
      <c r="T290" s="130"/>
      <c r="U290" s="130"/>
      <c r="V290" s="130"/>
      <c r="W290" s="130"/>
      <c r="X290" s="130"/>
      <c r="AC290" t="s">
        <v>367</v>
      </c>
      <c r="AD290" s="117">
        <f ca="1">AD284*(AD284+1)/4</f>
        <v>5</v>
      </c>
    </row>
    <row r="291" spans="3:31" x14ac:dyDescent="0.3">
      <c r="C291" s="2" t="s">
        <v>298</v>
      </c>
      <c r="D291" s="37" cm="1">
        <f t="array" aca="1" ref="D291" ca="1">INDIRECT("'" &amp; C291 &amp; "'!$E$167")</f>
        <v>1</v>
      </c>
      <c r="E291" s="37" cm="1">
        <f t="array" aca="1" ref="E291" ca="1">INDIRECT("'" &amp; C291 &amp; "'!$F$167")</f>
        <v>1</v>
      </c>
      <c r="G291" t="s">
        <v>311</v>
      </c>
      <c r="H291" s="65">
        <f ca="1">MIN(D278:D298)</f>
        <v>1</v>
      </c>
      <c r="J291" s="134" t="s">
        <v>335</v>
      </c>
      <c r="K291" s="136" t="str">
        <f ca="1">IF(K289&lt;K290,"no","yes")</f>
        <v>no</v>
      </c>
      <c r="M291" t="s">
        <v>311</v>
      </c>
      <c r="N291" s="65">
        <f ca="1">MIN(E278:E298)</f>
        <v>1</v>
      </c>
      <c r="P291" s="134" t="s">
        <v>335</v>
      </c>
      <c r="Q291" s="136" t="str">
        <f ca="1">IF(Q289&lt;Q290,"no","yes")</f>
        <v>no</v>
      </c>
      <c r="AC291" t="s">
        <v>368</v>
      </c>
      <c r="AD291" s="74">
        <f ca="1">SQRT(AD290*(2*AD284+1)/6-[1]!TiesCorrection(D278:D298,E278:E298,1)/48)</f>
        <v>2.5</v>
      </c>
      <c r="AE291" t="s">
        <v>369</v>
      </c>
    </row>
    <row r="292" spans="3:31" x14ac:dyDescent="0.3">
      <c r="C292" s="2" t="s">
        <v>299</v>
      </c>
      <c r="D292" s="37" cm="1">
        <f t="array" aca="1" ref="D292" ca="1">INDIRECT("'" &amp; C292 &amp; "'!$E$167")</f>
        <v>1</v>
      </c>
      <c r="E292" s="37" cm="1">
        <f t="array" aca="1" ref="E292" ca="1">INDIRECT("'" &amp; C292 &amp; "'!$F$167")</f>
        <v>1</v>
      </c>
      <c r="G292" t="s">
        <v>312</v>
      </c>
      <c r="H292" s="65">
        <f ca="1">SUM(D278:D298)</f>
        <v>24</v>
      </c>
      <c r="M292" t="s">
        <v>312</v>
      </c>
      <c r="N292" s="65">
        <f ca="1">SUM(E278:E298)</f>
        <v>22</v>
      </c>
      <c r="AC292" t="s">
        <v>370</v>
      </c>
      <c r="AD292" s="74">
        <f ca="1">ABS(ABS(AD287-AD290)-1/2)/AD291</f>
        <v>0.8</v>
      </c>
      <c r="AE292" t="s">
        <v>371</v>
      </c>
    </row>
    <row r="293" spans="3:31" x14ac:dyDescent="0.3">
      <c r="C293" s="2" t="s">
        <v>395</v>
      </c>
      <c r="D293" s="37" cm="1">
        <f t="array" aca="1" ref="D293" ca="1">INDIRECT("'" &amp; C293 &amp; "'!$E$167")</f>
        <v>1</v>
      </c>
      <c r="E293" s="37" cm="1">
        <f t="array" aca="1" ref="E293" ca="1">INDIRECT("'" &amp; C293 &amp; "'!$F$167")</f>
        <v>1</v>
      </c>
      <c r="G293" t="s">
        <v>313</v>
      </c>
      <c r="H293">
        <f ca="1">COUNT(D278:D298)</f>
        <v>21</v>
      </c>
      <c r="M293" t="s">
        <v>313</v>
      </c>
      <c r="N293">
        <f ca="1">COUNT(E278:E298)</f>
        <v>21</v>
      </c>
      <c r="AC293" t="s">
        <v>372</v>
      </c>
      <c r="AD293" s="74">
        <f ca="1">AD292/SQRT(AD284)</f>
        <v>0.4</v>
      </c>
    </row>
    <row r="294" spans="3:31" x14ac:dyDescent="0.3">
      <c r="C294" s="2" t="s">
        <v>396</v>
      </c>
      <c r="D294" s="37" cm="1">
        <f t="array" aca="1" ref="D294" ca="1">INDIRECT("'" &amp; C294 &amp; "'!$E$167")</f>
        <v>1</v>
      </c>
      <c r="E294" s="37" cm="1">
        <f t="array" aca="1" ref="E294" ca="1">INDIRECT("'" &amp; C294 &amp; "'!$F$167")</f>
        <v>1</v>
      </c>
      <c r="G294" t="s">
        <v>314</v>
      </c>
      <c r="H294">
        <f ca="1">GEOMEAN(D278:D298)</f>
        <v>1.1040895136738123</v>
      </c>
      <c r="M294" t="s">
        <v>314</v>
      </c>
      <c r="N294">
        <f ca="1">GEOMEAN(E278:E298)</f>
        <v>1.0335577830070277</v>
      </c>
      <c r="AC294" t="s">
        <v>373</v>
      </c>
      <c r="AD294" s="117">
        <f ca="1">1-_xlfn.NORM.S.DIST(AD292,TRUE)</f>
        <v>0.21185539858339664</v>
      </c>
      <c r="AE294" s="118">
        <f ca="1">2*AD294</f>
        <v>0.42371079716679327</v>
      </c>
    </row>
    <row r="295" spans="3:31" x14ac:dyDescent="0.3">
      <c r="C295" s="2" t="s">
        <v>397</v>
      </c>
      <c r="D295" s="37" cm="1">
        <f t="array" aca="1" ref="D295" ca="1">INDIRECT("'" &amp; C295 &amp; "'!$E$167")</f>
        <v>1</v>
      </c>
      <c r="E295" s="37" cm="1">
        <f t="array" aca="1" ref="E295" ca="1">INDIRECT("'" &amp; C295 &amp; "'!$F$167")</f>
        <v>1</v>
      </c>
      <c r="G295" t="s">
        <v>315</v>
      </c>
      <c r="H295">
        <f ca="1">HARMEAN(D278:D298)</f>
        <v>1.0769230769230769</v>
      </c>
      <c r="M295" t="s">
        <v>315</v>
      </c>
      <c r="N295">
        <f ca="1">HARMEAN(E278:E298)</f>
        <v>1.024390243902439</v>
      </c>
      <c r="AC295" t="s">
        <v>374</v>
      </c>
      <c r="AD295" s="74">
        <f ca="1">[1]!SRDIST(AD287,AD284,1)</f>
        <v>0.1875</v>
      </c>
      <c r="AE295" s="77">
        <f ca="1">2*AD295</f>
        <v>0.375</v>
      </c>
    </row>
    <row r="296" spans="3:31" x14ac:dyDescent="0.3">
      <c r="C296" s="2" t="s">
        <v>398</v>
      </c>
      <c r="D296" s="37" cm="1">
        <f t="array" aca="1" ref="D296" ca="1">INDIRECT("'" &amp; C296 &amp; "'!$E$167")</f>
        <v>2</v>
      </c>
      <c r="E296" s="37" cm="1">
        <f t="array" aca="1" ref="E296" ca="1">INDIRECT("'" &amp; C296 &amp; "'!$F$167")</f>
        <v>1</v>
      </c>
      <c r="G296" t="s">
        <v>316</v>
      </c>
      <c r="H296">
        <f ca="1">AVEDEV(D278:D298)</f>
        <v>0.24489795918367335</v>
      </c>
      <c r="M296" t="s">
        <v>316</v>
      </c>
      <c r="N296">
        <f ca="1">AVEDEV(E278:E298)</f>
        <v>9.0702947845805043E-2</v>
      </c>
      <c r="AC296" t="s">
        <v>375</v>
      </c>
      <c r="AD296" s="132" t="s">
        <v>376</v>
      </c>
      <c r="AE296" s="133" t="s">
        <v>376</v>
      </c>
    </row>
    <row r="297" spans="3:31" x14ac:dyDescent="0.3">
      <c r="C297" s="2" t="s">
        <v>399</v>
      </c>
      <c r="D297" s="37" cm="1">
        <f t="array" aca="1" ref="D297" ca="1">INDIRECT("'" &amp; C297 &amp; "'!$E$167")</f>
        <v>1</v>
      </c>
      <c r="E297" s="37" cm="1">
        <f t="array" aca="1" ref="E297" ca="1">INDIRECT("'" &amp; C297 &amp; "'!$F$167")</f>
        <v>1</v>
      </c>
      <c r="G297" t="s">
        <v>317</v>
      </c>
      <c r="H297">
        <f ca="1">[1]!MAD(D278:D298)</f>
        <v>0</v>
      </c>
      <c r="M297" t="s">
        <v>317</v>
      </c>
      <c r="N297">
        <f ca="1">[1]!MAD(E278:E298)</f>
        <v>0</v>
      </c>
    </row>
    <row r="298" spans="3:31" x14ac:dyDescent="0.3">
      <c r="C298" s="2" t="s">
        <v>400</v>
      </c>
      <c r="D298" s="37" cm="1">
        <f t="array" aca="1" ref="D298" ca="1">INDIRECT("'" &amp; C298 &amp; "'!$E$167")</f>
        <v>1</v>
      </c>
      <c r="E298" s="37" cm="1">
        <f t="array" aca="1" ref="E298" ca="1">INDIRECT("'" &amp; C298 &amp; "'!$F$167")</f>
        <v>1</v>
      </c>
      <c r="G298" s="134" t="s">
        <v>318</v>
      </c>
      <c r="H298" s="134">
        <f ca="1">[1]!IQR(D278:D298,FALSE)</f>
        <v>0</v>
      </c>
      <c r="M298" s="134" t="s">
        <v>318</v>
      </c>
      <c r="N298" s="134">
        <f ca="1">[1]!IQR(E278:E298,FALSE)</f>
        <v>0</v>
      </c>
    </row>
    <row r="300" spans="3:31" x14ac:dyDescent="0.3">
      <c r="D300" s="37"/>
      <c r="E300" s="3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53AD-6B70-41FA-8C23-637633614B0D}">
  <sheetPr>
    <tabColor theme="2" tint="-0.249977111117893"/>
  </sheetPr>
  <dimension ref="C4:AE157"/>
  <sheetViews>
    <sheetView zoomScale="69" zoomScaleNormal="115" workbookViewId="0">
      <selection activeCell="M54" sqref="M54"/>
    </sheetView>
  </sheetViews>
  <sheetFormatPr defaultRowHeight="14.4" x14ac:dyDescent="0.3"/>
  <cols>
    <col min="3" max="3" width="8.6640625" bestFit="1" customWidth="1"/>
    <col min="4" max="4" width="9.33203125" customWidth="1"/>
    <col min="5" max="5" width="7.77734375" customWidth="1"/>
    <col min="11" max="11" width="9" bestFit="1" customWidth="1"/>
    <col min="14" max="14" width="9" bestFit="1" customWidth="1"/>
    <col min="17" max="17" width="9" bestFit="1" customWidth="1"/>
    <col min="20" max="20" width="12.21875" bestFit="1" customWidth="1"/>
    <col min="21" max="27" width="9" bestFit="1" customWidth="1"/>
    <col min="30" max="31" width="12.21875" bestFit="1" customWidth="1"/>
  </cols>
  <sheetData>
    <row r="4" spans="3:31" x14ac:dyDescent="0.3">
      <c r="C4" s="2"/>
      <c r="D4" s="82" t="s">
        <v>422</v>
      </c>
      <c r="E4" s="83"/>
      <c r="G4" t="s">
        <v>423</v>
      </c>
    </row>
    <row r="5" spans="3:31" x14ac:dyDescent="0.3">
      <c r="C5" s="2"/>
      <c r="D5" s="2"/>
      <c r="E5" s="2"/>
    </row>
    <row r="6" spans="3:31" x14ac:dyDescent="0.3">
      <c r="C6" s="2" t="s">
        <v>285</v>
      </c>
      <c r="D6" s="106" cm="1">
        <f t="array" aca="1" ref="D6" ca="1">INDIRECT("'" &amp; C6 &amp; "'!$f$176")</f>
        <v>5</v>
      </c>
      <c r="E6" s="106" cm="1">
        <f t="array" aca="1" ref="E6" ca="1">INDIRECT("'" &amp; C6 &amp; "'!$f$177")</f>
        <v>0</v>
      </c>
      <c r="G6" t="s">
        <v>300</v>
      </c>
      <c r="J6" t="s">
        <v>331</v>
      </c>
      <c r="M6" t="s">
        <v>300</v>
      </c>
      <c r="P6" t="s">
        <v>331</v>
      </c>
      <c r="S6" t="s">
        <v>338</v>
      </c>
      <c r="AC6" t="s">
        <v>358</v>
      </c>
    </row>
    <row r="7" spans="3:31" x14ac:dyDescent="0.3">
      <c r="C7" s="2" t="s">
        <v>286</v>
      </c>
      <c r="D7" s="106" cm="1">
        <f t="array" aca="1" ref="D7" ca="1">INDIRECT("'" &amp; C7 &amp; "'!$f$176")</f>
        <v>5</v>
      </c>
      <c r="E7" s="106" cm="1">
        <f t="array" aca="1" ref="E7" ca="1">INDIRECT("'" &amp; C7 &amp; "'!$f$177")</f>
        <v>0</v>
      </c>
    </row>
    <row r="8" spans="3:31" ht="15" thickBot="1" x14ac:dyDescent="0.35">
      <c r="C8" s="2" t="s">
        <v>287</v>
      </c>
      <c r="D8" s="106" cm="1">
        <f t="array" aca="1" ref="D8" ca="1">INDIRECT("'" &amp; C8 &amp; "'!$f$176")</f>
        <v>5</v>
      </c>
      <c r="E8" s="106" cm="1">
        <f t="array" aca="1" ref="E8" ca="1">INDIRECT("'" &amp; C8 &amp; "'!$f$177")</f>
        <v>0</v>
      </c>
      <c r="F8" s="79"/>
      <c r="G8" s="64"/>
      <c r="H8" s="64" t="s">
        <v>379</v>
      </c>
      <c r="I8" s="79"/>
      <c r="J8" s="64"/>
      <c r="K8" s="64" t="s">
        <v>379</v>
      </c>
      <c r="M8" s="64"/>
      <c r="N8" s="64" t="s">
        <v>379</v>
      </c>
      <c r="P8" s="64"/>
      <c r="Q8" s="64" t="s">
        <v>379</v>
      </c>
      <c r="S8" t="s">
        <v>339</v>
      </c>
      <c r="V8" t="s">
        <v>340</v>
      </c>
      <c r="W8">
        <v>0.05</v>
      </c>
      <c r="Y8" t="s">
        <v>341</v>
      </c>
      <c r="Z8">
        <v>0</v>
      </c>
      <c r="AD8" t="s">
        <v>381</v>
      </c>
      <c r="AE8" t="s">
        <v>382</v>
      </c>
    </row>
    <row r="9" spans="3:31" ht="15" thickTop="1" x14ac:dyDescent="0.3">
      <c r="C9" s="2" t="s">
        <v>288</v>
      </c>
      <c r="D9" s="106" cm="1">
        <f t="array" aca="1" ref="D9" ca="1">INDIRECT("'" &amp; C9 &amp; "'!$f$176")</f>
        <v>3</v>
      </c>
      <c r="E9" s="106" cm="1">
        <f t="array" aca="1" ref="E9" ca="1">INDIRECT("'" &amp; C9 &amp; "'!$f$177")</f>
        <v>2</v>
      </c>
      <c r="G9" s="65" t="s">
        <v>301</v>
      </c>
      <c r="H9" s="65">
        <f ca="1">AVERAGE(D6:D26)</f>
        <v>4.1428571428571432</v>
      </c>
      <c r="J9" t="s">
        <v>332</v>
      </c>
      <c r="K9">
        <f ca="1">[1]!SHAPIRO(D6:D26)</f>
        <v>0.77707905644782937</v>
      </c>
      <c r="M9" t="s">
        <v>301</v>
      </c>
      <c r="N9" s="65">
        <f ca="1">AVERAGE(E6:E26)</f>
        <v>0.8571428571428571</v>
      </c>
      <c r="P9" t="s">
        <v>332</v>
      </c>
      <c r="Q9">
        <f ca="1">[1]!SHAPIRO(E6:E26)</f>
        <v>0.77707905644782915</v>
      </c>
      <c r="S9" s="101" t="s">
        <v>342</v>
      </c>
      <c r="T9" s="101" t="s">
        <v>313</v>
      </c>
      <c r="U9" s="101" t="s">
        <v>301</v>
      </c>
      <c r="V9" s="101" t="s">
        <v>343</v>
      </c>
      <c r="W9" s="101" t="s">
        <v>344</v>
      </c>
      <c r="X9" s="101" t="s">
        <v>345</v>
      </c>
      <c r="Y9" s="101" t="s">
        <v>346</v>
      </c>
      <c r="Z9" s="101" t="s">
        <v>347</v>
      </c>
      <c r="AA9" s="101" t="s">
        <v>348</v>
      </c>
      <c r="AC9" t="s">
        <v>359</v>
      </c>
      <c r="AD9" s="115">
        <f ca="1">MEDIAN(D6:D26)</f>
        <v>4</v>
      </c>
      <c r="AE9" s="116">
        <f ca="1">MEDIAN(E6:E26)</f>
        <v>1</v>
      </c>
    </row>
    <row r="10" spans="3:31" x14ac:dyDescent="0.3">
      <c r="C10" s="2" t="s">
        <v>289</v>
      </c>
      <c r="D10" s="106" cm="1">
        <f t="array" aca="1" ref="D10" ca="1">INDIRECT("'" &amp; C10 &amp; "'!$f$176")</f>
        <v>5</v>
      </c>
      <c r="E10" s="106" cm="1">
        <f t="array" aca="1" ref="E10" ca="1">INDIRECT("'" &amp; C10 &amp; "'!$f$177")</f>
        <v>0</v>
      </c>
      <c r="G10" t="s">
        <v>302</v>
      </c>
      <c r="H10">
        <f ca="1">_xlfn.STDEV.S(D6:D26)/SQRT(COUNT(D6:D26))</f>
        <v>0.23182212275501105</v>
      </c>
      <c r="J10" t="s">
        <v>333</v>
      </c>
      <c r="K10">
        <f ca="1">[1]!SWTEST(D6:D26)</f>
        <v>2.9883838242783511E-4</v>
      </c>
      <c r="M10" t="s">
        <v>302</v>
      </c>
      <c r="N10">
        <f ca="1">_xlfn.STDEV.S(E6:E26)/SQRT(COUNT(E6:E26))</f>
        <v>0.23182212275501113</v>
      </c>
      <c r="P10" t="s">
        <v>333</v>
      </c>
      <c r="Q10">
        <f ca="1">[1]!SWTEST(E6:E26)</f>
        <v>2.9883838242783511E-4</v>
      </c>
      <c r="S10" t="s">
        <v>379</v>
      </c>
      <c r="T10">
        <f ca="1">COUNT(D6:D26)</f>
        <v>21</v>
      </c>
      <c r="U10" s="65">
        <f ca="1">AVERAGE(D6:D26)</f>
        <v>4.1428571428571432</v>
      </c>
      <c r="V10">
        <f ca="1">_xlfn.STDEV.S(D6:D26)</f>
        <v>1.0623424252901827</v>
      </c>
    </row>
    <row r="11" spans="3:31" x14ac:dyDescent="0.3">
      <c r="C11" s="2" t="s">
        <v>290</v>
      </c>
      <c r="D11" s="106" cm="1">
        <f t="array" aca="1" ref="D11" ca="1">INDIRECT("'" &amp; C11 &amp; "'!$f$176")</f>
        <v>3</v>
      </c>
      <c r="E11" s="106" cm="1">
        <f t="array" aca="1" ref="E11" ca="1">INDIRECT("'" &amp; C11 &amp; "'!$f$177")</f>
        <v>2</v>
      </c>
      <c r="G11" s="65" t="s">
        <v>303</v>
      </c>
      <c r="H11" s="65">
        <f ca="1">MEDIAN(D6:D26)</f>
        <v>4</v>
      </c>
      <c r="J11" t="s">
        <v>334</v>
      </c>
      <c r="K11">
        <v>0.05</v>
      </c>
      <c r="M11" t="s">
        <v>303</v>
      </c>
      <c r="N11" s="65">
        <f ca="1">MEDIAN(E6:E26)</f>
        <v>1</v>
      </c>
      <c r="P11" t="s">
        <v>334</v>
      </c>
      <c r="Q11">
        <v>0.05</v>
      </c>
      <c r="S11" t="s">
        <v>380</v>
      </c>
      <c r="T11">
        <f ca="1">COUNT(E6:E26)</f>
        <v>21</v>
      </c>
      <c r="U11" s="65">
        <f ca="1">AVERAGE(E6:E26)</f>
        <v>0.8571428571428571</v>
      </c>
      <c r="V11">
        <f ca="1">_xlfn.STDEV.S(E6:E26)</f>
        <v>1.0623424252901832</v>
      </c>
      <c r="AC11" t="s">
        <v>360</v>
      </c>
      <c r="AD11" s="117">
        <f ca="1">SUMPRODUCT(--ISNUMBER(D6:D26),--ISNUMBER(E6:E26))</f>
        <v>21</v>
      </c>
    </row>
    <row r="12" spans="3:31" x14ac:dyDescent="0.3">
      <c r="C12" s="2" t="s">
        <v>291</v>
      </c>
      <c r="D12" s="106" cm="1">
        <f t="array" aca="1" ref="D12" ca="1">INDIRECT("'" &amp; C12 &amp; "'!$f$176")</f>
        <v>5</v>
      </c>
      <c r="E12" s="106" cm="1">
        <f t="array" aca="1" ref="E12" ca="1">INDIRECT("'" &amp; C12 &amp; "'!$f$177")</f>
        <v>0</v>
      </c>
      <c r="G12" t="s">
        <v>304</v>
      </c>
      <c r="H12">
        <f ca="1">MODE(D6:D26)</f>
        <v>5</v>
      </c>
      <c r="J12" s="66" t="s">
        <v>335</v>
      </c>
      <c r="K12" s="66" t="str">
        <f ca="1">IF(K10&lt;K11,"no","yes")</f>
        <v>no</v>
      </c>
      <c r="M12" t="s">
        <v>304</v>
      </c>
      <c r="N12">
        <f ca="1">MODE(E6:E26)</f>
        <v>0</v>
      </c>
      <c r="P12" s="63" t="s">
        <v>335</v>
      </c>
      <c r="Q12" s="66" t="str">
        <f ca="1">IF(Q10&lt;Q11,"no","yes")</f>
        <v>no</v>
      </c>
      <c r="S12" s="130" t="s">
        <v>349</v>
      </c>
      <c r="T12" s="130">
        <f ca="1">T11</f>
        <v>21</v>
      </c>
      <c r="U12" s="131">
        <f ca="1">U10-U11</f>
        <v>3.285714285714286</v>
      </c>
      <c r="V12" s="130">
        <f t="array" aca="1" ref="V12" ca="1">_xlfn.STDEV.S(D6:D26-E6:E26)</f>
        <v>2.1246848505803664</v>
      </c>
      <c r="W12" s="130">
        <f ca="1">V12/SQRT(T12)</f>
        <v>0.46364424551002226</v>
      </c>
      <c r="X12" s="130">
        <f ca="1">(U10-U11-Z8)/W12</f>
        <v>7.0867142589031902</v>
      </c>
      <c r="Y12" s="130">
        <f ca="1">T12-1</f>
        <v>20</v>
      </c>
      <c r="Z12" s="130">
        <f ca="1">ABS(U10-U11-Z8)/V12</f>
        <v>1.5464478342831784</v>
      </c>
      <c r="AA12" s="130">
        <f ca="1">SQRT(X12^2/(X12^2+Y12))</f>
        <v>0.84568730697623229</v>
      </c>
      <c r="AC12" t="s">
        <v>361</v>
      </c>
      <c r="AD12" s="74">
        <f ca="1">SUMPRODUCT(--ISNUMBER(D6:D26),--ISNUMBER(E6:E26),--(D6:D26&lt;&gt;E6:E26))</f>
        <v>21</v>
      </c>
    </row>
    <row r="13" spans="3:31" x14ac:dyDescent="0.3">
      <c r="C13" s="2" t="s">
        <v>292</v>
      </c>
      <c r="D13" s="106" cm="1">
        <f t="array" aca="1" ref="D13" ca="1">INDIRECT("'" &amp; C13 &amp; "'!$f$176")</f>
        <v>4</v>
      </c>
      <c r="E13" s="106" cm="1">
        <f t="array" aca="1" ref="E13" ca="1">INDIRECT("'" &amp; C13 &amp; "'!$f$177")</f>
        <v>1</v>
      </c>
      <c r="G13" t="s">
        <v>305</v>
      </c>
      <c r="H13">
        <f ca="1">_xlfn.STDEV.S(D6:D26)</f>
        <v>1.0623424252901827</v>
      </c>
      <c r="M13" t="s">
        <v>305</v>
      </c>
      <c r="N13">
        <f ca="1">_xlfn.STDEV.S(E6:E26)</f>
        <v>1.0623424252901832</v>
      </c>
      <c r="AC13" t="s">
        <v>362</v>
      </c>
      <c r="AD13" s="74">
        <f ca="1">IF(AD15&lt;=AD18,AD15,AD12*(AD12+1)/2)</f>
        <v>8</v>
      </c>
    </row>
    <row r="14" spans="3:31" ht="15" thickBot="1" x14ac:dyDescent="0.35">
      <c r="C14" s="2" t="s">
        <v>293</v>
      </c>
      <c r="D14" s="106" cm="1">
        <f t="array" aca="1" ref="D14" ca="1">INDIRECT("'" &amp; C14 &amp; "'!$f$176")</f>
        <v>4</v>
      </c>
      <c r="E14" s="106" cm="1">
        <f t="array" aca="1" ref="E14" ca="1">INDIRECT("'" &amp; C14 &amp; "'!$f$177")</f>
        <v>1</v>
      </c>
      <c r="G14" t="s">
        <v>306</v>
      </c>
      <c r="H14">
        <f ca="1">_xlfn.VAR.S(D6:D26)</f>
        <v>1.1285714285714277</v>
      </c>
      <c r="J14" t="s">
        <v>336</v>
      </c>
      <c r="M14" t="s">
        <v>306</v>
      </c>
      <c r="N14">
        <f ca="1">_xlfn.VAR.S(E6:E26)</f>
        <v>1.1285714285714286</v>
      </c>
      <c r="P14" t="s">
        <v>336</v>
      </c>
      <c r="S14" t="s">
        <v>350</v>
      </c>
      <c r="AC14" t="s">
        <v>363</v>
      </c>
      <c r="AD14" s="74">
        <f ca="1">AD12*(AD12+1)/2-AD13</f>
        <v>223</v>
      </c>
    </row>
    <row r="15" spans="3:31" ht="15" thickTop="1" x14ac:dyDescent="0.3">
      <c r="C15" s="2" t="s">
        <v>294</v>
      </c>
      <c r="D15" s="106" cm="1">
        <f t="array" aca="1" ref="D15" ca="1">INDIRECT("'" &amp; C15 &amp; "'!$f$176")</f>
        <v>3</v>
      </c>
      <c r="E15" s="106" cm="1">
        <f t="array" aca="1" ref="E15" ca="1">INDIRECT("'" &amp; C15 &amp; "'!$f$177")</f>
        <v>2</v>
      </c>
      <c r="G15" t="s">
        <v>307</v>
      </c>
      <c r="H15">
        <f ca="1">KURT(D6:D26)</f>
        <v>2.3134787778611723</v>
      </c>
      <c r="M15" t="s">
        <v>307</v>
      </c>
      <c r="N15">
        <f ca="1">KURT(E6:E26)</f>
        <v>2.3134787778611723</v>
      </c>
      <c r="S15" s="101" t="s">
        <v>351</v>
      </c>
      <c r="T15" s="101" t="s">
        <v>333</v>
      </c>
      <c r="U15" s="101" t="s">
        <v>352</v>
      </c>
      <c r="V15" s="101" t="s">
        <v>353</v>
      </c>
      <c r="W15" s="101" t="s">
        <v>354</v>
      </c>
      <c r="X15" s="101" t="s">
        <v>355</v>
      </c>
      <c r="AC15" t="s">
        <v>364</v>
      </c>
      <c r="AD15" s="132">
        <f ca="1">[1]!SRANK(D6:D26,E6:E26)</f>
        <v>8</v>
      </c>
    </row>
    <row r="16" spans="3:31" x14ac:dyDescent="0.3">
      <c r="C16" s="2" t="s">
        <v>295</v>
      </c>
      <c r="D16" s="106" cm="1">
        <f t="array" aca="1" ref="D16" ca="1">INDIRECT("'" &amp; C16 &amp; "'!$f$176")</f>
        <v>5</v>
      </c>
      <c r="E16" s="106" cm="1">
        <f t="array" aca="1" ref="E16" ca="1">INDIRECT("'" &amp; C16 &amp; "'!$f$177")</f>
        <v>0</v>
      </c>
      <c r="G16" t="s">
        <v>308</v>
      </c>
      <c r="H16">
        <f ca="1">SKEW(D6:D26)</f>
        <v>-1.4166775542982886</v>
      </c>
      <c r="J16" s="85" t="s">
        <v>337</v>
      </c>
      <c r="K16" s="85">
        <f ca="1">[1]!DAGOSTINO(D6:D26)</f>
        <v>10.519980702265977</v>
      </c>
      <c r="M16" t="s">
        <v>308</v>
      </c>
      <c r="N16">
        <f ca="1">SKEW(E6:E26)</f>
        <v>1.4166775542982879</v>
      </c>
      <c r="P16" s="85" t="s">
        <v>337</v>
      </c>
      <c r="Q16" s="85">
        <f ca="1">[1]!DAGOSTINO(E6:E26)</f>
        <v>10.519980702265965</v>
      </c>
      <c r="S16" t="s">
        <v>356</v>
      </c>
      <c r="T16">
        <f ca="1">_xlfn.T.DIST.RT(ABS(X12),Y12)</f>
        <v>3.5957850624630927E-7</v>
      </c>
      <c r="U16">
        <f ca="1">_xlfn.T.INV.2T(W8*2,Y12)</f>
        <v>1.7247182429207868</v>
      </c>
      <c r="X16" s="70" t="str">
        <f ca="1">IF(T16&lt;W8,"yes","no")</f>
        <v>yes</v>
      </c>
    </row>
    <row r="17" spans="3:31" x14ac:dyDescent="0.3">
      <c r="C17" s="2" t="s">
        <v>296</v>
      </c>
      <c r="D17" s="106" cm="1">
        <f t="array" aca="1" ref="D17" ca="1">INDIRECT("'" &amp; C17 &amp; "'!$f$176")</f>
        <v>5</v>
      </c>
      <c r="E17" s="106" cm="1">
        <f t="array" aca="1" ref="E17" ca="1">INDIRECT("'" &amp; C17 &amp; "'!$f$177")</f>
        <v>0</v>
      </c>
      <c r="G17" t="s">
        <v>309</v>
      </c>
      <c r="H17">
        <f ca="1">H18-H19</f>
        <v>4</v>
      </c>
      <c r="J17" t="s">
        <v>333</v>
      </c>
      <c r="K17">
        <f ca="1">[1]!DPTEST(D6:D26)</f>
        <v>5.1953548477513545E-3</v>
      </c>
      <c r="M17" t="s">
        <v>309</v>
      </c>
      <c r="N17">
        <f ca="1">N18-N19</f>
        <v>4</v>
      </c>
      <c r="P17" t="s">
        <v>333</v>
      </c>
      <c r="Q17">
        <f ca="1">[1]!DPTEST(E6:E26)</f>
        <v>5.1953548477514655E-3</v>
      </c>
      <c r="S17" t="s">
        <v>357</v>
      </c>
      <c r="T17">
        <f ca="1">_xlfn.T.DIST.2T(ABS(X12),Y12)</f>
        <v>7.1915701249261854E-7</v>
      </c>
      <c r="U17">
        <f ca="1">_xlfn.T.INV.2T(W8,Y12)</f>
        <v>2.0859634472658648</v>
      </c>
      <c r="V17">
        <f ca="1">(U10-U11)-W12*U17</f>
        <v>2.3185693370452189</v>
      </c>
      <c r="W17">
        <f ca="1">(U10-U11)+W12*U17</f>
        <v>4.2528592343833527</v>
      </c>
      <c r="X17" s="70" t="str">
        <f ca="1">IF(T17&lt;W8,"yes","no")</f>
        <v>yes</v>
      </c>
      <c r="AD17" s="70" t="s">
        <v>365</v>
      </c>
      <c r="AE17" s="70" t="s">
        <v>366</v>
      </c>
    </row>
    <row r="18" spans="3:31" x14ac:dyDescent="0.3">
      <c r="C18" s="2" t="s">
        <v>297</v>
      </c>
      <c r="D18" s="106" cm="1">
        <f t="array" aca="1" ref="D18" ca="1">INDIRECT("'" &amp; C18 &amp; "'!$f$176")</f>
        <v>3</v>
      </c>
      <c r="E18" s="106" cm="1">
        <f t="array" aca="1" ref="E18" ca="1">INDIRECT("'" &amp; C18 &amp; "'!$f$177")</f>
        <v>2</v>
      </c>
      <c r="G18" s="65" t="s">
        <v>310</v>
      </c>
      <c r="H18" s="65">
        <f ca="1">MAX(D6:D26)</f>
        <v>5</v>
      </c>
      <c r="J18" t="s">
        <v>334</v>
      </c>
      <c r="K18">
        <v>0.05</v>
      </c>
      <c r="M18" t="s">
        <v>310</v>
      </c>
      <c r="N18" s="65">
        <f ca="1">MAX(E6:E26)</f>
        <v>4</v>
      </c>
      <c r="P18" t="s">
        <v>334</v>
      </c>
      <c r="Q18">
        <v>0.05</v>
      </c>
      <c r="S18" s="130"/>
      <c r="T18" s="130"/>
      <c r="U18" s="130"/>
      <c r="V18" s="130"/>
      <c r="W18" s="130"/>
      <c r="X18" s="130"/>
      <c r="AC18" t="s">
        <v>367</v>
      </c>
      <c r="AD18" s="117">
        <f ca="1">AD12*(AD12+1)/4</f>
        <v>115.5</v>
      </c>
    </row>
    <row r="19" spans="3:31" x14ac:dyDescent="0.3">
      <c r="C19" s="2" t="s">
        <v>298</v>
      </c>
      <c r="D19" s="106" cm="1">
        <f t="array" aca="1" ref="D19" ca="1">INDIRECT("'" &amp; C19 &amp; "'!$f$176")</f>
        <v>4</v>
      </c>
      <c r="E19" s="106" cm="1">
        <f t="array" aca="1" ref="E19" ca="1">INDIRECT("'" &amp; C19 &amp; "'!$f$177")</f>
        <v>1</v>
      </c>
      <c r="G19" s="65" t="s">
        <v>311</v>
      </c>
      <c r="H19" s="65">
        <f ca="1">MIN(D6:D26)</f>
        <v>1</v>
      </c>
      <c r="J19" s="66" t="s">
        <v>335</v>
      </c>
      <c r="K19" s="66" t="str">
        <f ca="1">IF(K17&lt;K18,"no","yes")</f>
        <v>no</v>
      </c>
      <c r="N19" s="65"/>
      <c r="Q19" s="80"/>
      <c r="AC19" t="s">
        <v>368</v>
      </c>
      <c r="AD19" s="74">
        <f ca="1">SQRT(AD18*(2*AD12+1)/6-[1]!TiesCorrection(D6:D26,E6:E26,1)/48)</f>
        <v>28.26437687266429</v>
      </c>
      <c r="AE19" t="s">
        <v>369</v>
      </c>
    </row>
    <row r="20" spans="3:31" x14ac:dyDescent="0.3">
      <c r="C20" s="2" t="s">
        <v>299</v>
      </c>
      <c r="D20" s="106" cm="1">
        <f t="array" aca="1" ref="D20" ca="1">INDIRECT("'" &amp; C20 &amp; "'!$f$176")</f>
        <v>5</v>
      </c>
      <c r="E20" s="106" cm="1">
        <f t="array" aca="1" ref="E20" ca="1">INDIRECT("'" &amp; C20 &amp; "'!$f$177")</f>
        <v>0</v>
      </c>
      <c r="G20" s="65" t="s">
        <v>312</v>
      </c>
      <c r="H20" s="65">
        <f ca="1">SUM(D6:D26)</f>
        <v>87</v>
      </c>
      <c r="N20" s="65"/>
      <c r="AC20" t="s">
        <v>370</v>
      </c>
      <c r="AD20" s="74">
        <f ca="1">ABS(ABS(AD15-AD18)-1/2)/AD19</f>
        <v>3.7856840248788348</v>
      </c>
      <c r="AE20" t="s">
        <v>371</v>
      </c>
    </row>
    <row r="21" spans="3:31" x14ac:dyDescent="0.3">
      <c r="C21" s="2" t="s">
        <v>395</v>
      </c>
      <c r="D21" s="106" cm="1">
        <f t="array" aca="1" ref="D21" ca="1">INDIRECT("'" &amp; C21 &amp; "'!$f$176")</f>
        <v>5</v>
      </c>
      <c r="E21" s="106" cm="1">
        <f t="array" aca="1" ref="E21" ca="1">INDIRECT("'" &amp; C21 &amp; "'!$f$177")</f>
        <v>0</v>
      </c>
      <c r="G21" t="s">
        <v>313</v>
      </c>
      <c r="H21">
        <f ca="1">COUNT(D6:D26)</f>
        <v>21</v>
      </c>
      <c r="AC21" t="s">
        <v>372</v>
      </c>
      <c r="AD21" s="74">
        <f ca="1">AD20/SQRT(AD12)</f>
        <v>0.82610398100915949</v>
      </c>
    </row>
    <row r="22" spans="3:31" x14ac:dyDescent="0.3">
      <c r="C22" s="2" t="s">
        <v>396</v>
      </c>
      <c r="D22" s="106" cm="1">
        <f t="array" aca="1" ref="D22" ca="1">INDIRECT("'" &amp; C22 &amp; "'!$f$176")</f>
        <v>5</v>
      </c>
      <c r="E22" s="106" cm="1">
        <f t="array" aca="1" ref="E22" ca="1">INDIRECT("'" &amp; C22 &amp; "'!$f$177")</f>
        <v>0</v>
      </c>
      <c r="G22" t="s">
        <v>314</v>
      </c>
      <c r="H22">
        <f ca="1">GEOMEAN(D6:D26)</f>
        <v>3.9422143872556541</v>
      </c>
      <c r="AC22" t="s">
        <v>373</v>
      </c>
      <c r="AD22" s="117">
        <f ca="1">1-_xlfn.NORM.S.DIST(AD20,TRUE)</f>
        <v>7.6643173989143776E-5</v>
      </c>
      <c r="AE22" s="118">
        <f ca="1">2*AD22</f>
        <v>1.5328634797828755E-4</v>
      </c>
    </row>
    <row r="23" spans="3:31" x14ac:dyDescent="0.3">
      <c r="C23" s="2" t="s">
        <v>397</v>
      </c>
      <c r="D23" s="106" cm="1">
        <f t="array" aca="1" ref="D23" ca="1">INDIRECT("'" &amp; C23 &amp; "'!$f$176")</f>
        <v>4</v>
      </c>
      <c r="E23" s="106" cm="1">
        <f t="array" aca="1" ref="E23" ca="1">INDIRECT("'" &amp; C23 &amp; "'!$f$177")</f>
        <v>1</v>
      </c>
      <c r="G23" t="s">
        <v>315</v>
      </c>
      <c r="H23">
        <f ca="1">HARMEAN(D6:D26)</f>
        <v>3.5999999999999996</v>
      </c>
      <c r="AC23" t="s">
        <v>374</v>
      </c>
      <c r="AD23" s="74">
        <f ca="1">[1]!SRDIST(AD15,AD12,1)</f>
        <v>1.1920928955078125E-5</v>
      </c>
      <c r="AE23" s="77">
        <f ca="1">2*AD23</f>
        <v>2.384185791015625E-5</v>
      </c>
    </row>
    <row r="24" spans="3:31" x14ac:dyDescent="0.3">
      <c r="C24" s="2" t="s">
        <v>398</v>
      </c>
      <c r="D24" s="106" cm="1">
        <f t="array" aca="1" ref="D24" ca="1">INDIRECT("'" &amp; C24 &amp; "'!$f$176")</f>
        <v>4</v>
      </c>
      <c r="E24" s="106" cm="1">
        <f t="array" aca="1" ref="E24" ca="1">INDIRECT("'" &amp; C24 &amp; "'!$f$177")</f>
        <v>1</v>
      </c>
      <c r="G24" t="s">
        <v>316</v>
      </c>
      <c r="H24">
        <f ca="1">AVEDEV(D6:D26)</f>
        <v>0.81632653061224492</v>
      </c>
      <c r="AC24" t="s">
        <v>375</v>
      </c>
      <c r="AD24" s="132" t="s">
        <v>376</v>
      </c>
      <c r="AE24" s="133" t="s">
        <v>376</v>
      </c>
    </row>
    <row r="25" spans="3:31" x14ac:dyDescent="0.3">
      <c r="C25" s="2" t="s">
        <v>399</v>
      </c>
      <c r="D25" s="106" cm="1">
        <f t="array" aca="1" ref="D25" ca="1">INDIRECT("'" &amp; C25 &amp; "'!$f$176")</f>
        <v>4</v>
      </c>
      <c r="E25" s="106" cm="1">
        <f t="array" aca="1" ref="E25" ca="1">INDIRECT("'" &amp; C25 &amp; "'!$f$177")</f>
        <v>1</v>
      </c>
      <c r="G25" t="s">
        <v>317</v>
      </c>
      <c r="H25">
        <f ca="1">[1]!MAD(D6:D26)</f>
        <v>1</v>
      </c>
    </row>
    <row r="26" spans="3:31" x14ac:dyDescent="0.3">
      <c r="C26" s="2" t="s">
        <v>400</v>
      </c>
      <c r="D26" s="106" cm="1">
        <f t="array" aca="1" ref="D26" ca="1">INDIRECT("'" &amp; C26 &amp; "'!$f$176")</f>
        <v>1</v>
      </c>
      <c r="E26" s="106" cm="1">
        <f t="array" aca="1" ref="E26" ca="1">INDIRECT("'" &amp; C26 &amp; "'!$f$177")</f>
        <v>4</v>
      </c>
      <c r="G26" s="63" t="s">
        <v>318</v>
      </c>
      <c r="H26" s="63">
        <f ca="1">[1]!IQR(D6:D26,FALSE)</f>
        <v>1</v>
      </c>
    </row>
    <row r="30" spans="3:31" x14ac:dyDescent="0.3">
      <c r="C30" s="2"/>
      <c r="D30" s="84" t="s">
        <v>219</v>
      </c>
      <c r="E30" s="83"/>
      <c r="F30" s="2"/>
      <c r="G30" s="84" t="s">
        <v>221</v>
      </c>
      <c r="H30" s="83"/>
      <c r="I30" s="2"/>
      <c r="J30" s="84" t="s">
        <v>223</v>
      </c>
      <c r="K30" s="2"/>
      <c r="L30" s="2"/>
      <c r="M30" s="84" t="s">
        <v>225</v>
      </c>
      <c r="N30" s="37"/>
      <c r="O30" s="2"/>
      <c r="P30" s="84" t="s">
        <v>227</v>
      </c>
    </row>
    <row r="31" spans="3:31" x14ac:dyDescent="0.3">
      <c r="C31" s="2"/>
      <c r="D31" s="2"/>
      <c r="E31" s="2"/>
      <c r="F31" s="2"/>
      <c r="G31" s="2"/>
      <c r="H31" s="2"/>
      <c r="I31" s="2"/>
      <c r="J31" s="2"/>
      <c r="K31" s="37"/>
      <c r="L31" s="2"/>
      <c r="M31" s="2"/>
      <c r="N31" s="37"/>
      <c r="O31" s="2"/>
      <c r="P31" s="2"/>
    </row>
    <row r="32" spans="3:31" x14ac:dyDescent="0.3">
      <c r="C32" s="2" t="s">
        <v>285</v>
      </c>
      <c r="D32" s="106" cm="1">
        <f t="array" aca="1" ref="D32" ca="1">INDIRECT("'" &amp; C32 &amp; "'!$e$183")</f>
        <v>1</v>
      </c>
      <c r="E32" s="37"/>
      <c r="F32" s="2" t="s">
        <v>285</v>
      </c>
      <c r="G32" s="106" cm="1">
        <f t="array" aca="1" ref="G32" ca="1">INDIRECT("'" &amp; F32 &amp; "'!$e$184")</f>
        <v>1</v>
      </c>
      <c r="H32" s="37"/>
      <c r="I32" s="2" t="s">
        <v>285</v>
      </c>
      <c r="J32" s="106" cm="1">
        <f t="array" aca="1" ref="J32" ca="1">INDIRECT("'" &amp; I32 &amp; "'!$e$185")</f>
        <v>1</v>
      </c>
      <c r="K32" s="37"/>
      <c r="L32" s="2" t="s">
        <v>285</v>
      </c>
      <c r="M32" s="106" cm="1">
        <f t="array" aca="1" ref="M32" ca="1">INDIRECT("'" &amp; L32 &amp; "'!$e$186")</f>
        <v>1</v>
      </c>
      <c r="N32" s="37"/>
      <c r="O32" s="2" t="s">
        <v>285</v>
      </c>
      <c r="P32" s="106" cm="1">
        <f t="array" aca="1" ref="P32" ca="1">INDIRECT("'" &amp; O32 &amp; "'!$e$187")</f>
        <v>1</v>
      </c>
    </row>
    <row r="33" spans="3:31" x14ac:dyDescent="0.3">
      <c r="C33" s="2" t="s">
        <v>286</v>
      </c>
      <c r="D33" s="106" cm="1">
        <f t="array" aca="1" ref="D33" ca="1">INDIRECT("'" &amp; C33 &amp; "'!$e$183")</f>
        <v>1</v>
      </c>
      <c r="E33" s="37"/>
      <c r="F33" s="2" t="s">
        <v>286</v>
      </c>
      <c r="G33" s="106" cm="1">
        <f t="array" aca="1" ref="G33" ca="1">INDIRECT("'" &amp; F33 &amp; "'!$e$184")</f>
        <v>1</v>
      </c>
      <c r="H33" s="37"/>
      <c r="I33" s="2" t="s">
        <v>286</v>
      </c>
      <c r="J33" s="106" cm="1">
        <f t="array" aca="1" ref="J33" ca="1">INDIRECT("'" &amp; I33 &amp; "'!$e$185")</f>
        <v>1</v>
      </c>
      <c r="K33" s="37"/>
      <c r="L33" s="2" t="s">
        <v>286</v>
      </c>
      <c r="M33" s="106" cm="1">
        <f t="array" aca="1" ref="M33" ca="1">INDIRECT("'" &amp; L33 &amp; "'!$e$186")</f>
        <v>1</v>
      </c>
      <c r="N33" s="37"/>
      <c r="O33" s="2" t="s">
        <v>286</v>
      </c>
      <c r="P33" s="106" cm="1">
        <f t="array" aca="1" ref="P33" ca="1">INDIRECT("'" &amp; O33 &amp; "'!$e$187")</f>
        <v>1</v>
      </c>
    </row>
    <row r="34" spans="3:31" x14ac:dyDescent="0.3">
      <c r="C34" s="2" t="s">
        <v>287</v>
      </c>
      <c r="D34" s="106" cm="1">
        <f t="array" aca="1" ref="D34" ca="1">INDIRECT("'" &amp; C34 &amp; "'!$e$183")</f>
        <v>1</v>
      </c>
      <c r="E34" s="37"/>
      <c r="F34" s="2" t="s">
        <v>287</v>
      </c>
      <c r="G34" s="106" cm="1">
        <f t="array" aca="1" ref="G34" ca="1">INDIRECT("'" &amp; F34 &amp; "'!$e$184")</f>
        <v>1</v>
      </c>
      <c r="H34" s="37"/>
      <c r="I34" s="2" t="s">
        <v>287</v>
      </c>
      <c r="J34" s="106" cm="1">
        <f t="array" aca="1" ref="J34" ca="1">INDIRECT("'" &amp; I34 &amp; "'!$e$185")</f>
        <v>1</v>
      </c>
      <c r="K34" s="37"/>
      <c r="L34" s="2" t="s">
        <v>287</v>
      </c>
      <c r="M34" s="106" cm="1">
        <f t="array" aca="1" ref="M34" ca="1">INDIRECT("'" &amp; L34 &amp; "'!$e$186")</f>
        <v>1</v>
      </c>
      <c r="N34" s="37"/>
      <c r="O34" s="2" t="s">
        <v>287</v>
      </c>
      <c r="P34" s="106" cm="1">
        <f t="array" aca="1" ref="P34" ca="1">INDIRECT("'" &amp; O34 &amp; "'!$e$187")</f>
        <v>1</v>
      </c>
      <c r="Q34" s="79"/>
    </row>
    <row r="35" spans="3:31" x14ac:dyDescent="0.3">
      <c r="C35" s="2" t="s">
        <v>288</v>
      </c>
      <c r="D35" s="106" cm="1">
        <f t="array" aca="1" ref="D35" ca="1">INDIRECT("'" &amp; C35 &amp; "'!$e$183")</f>
        <v>1</v>
      </c>
      <c r="E35" s="37"/>
      <c r="F35" s="2" t="s">
        <v>288</v>
      </c>
      <c r="G35" s="106" cm="1">
        <f t="array" aca="1" ref="G35" ca="1">INDIRECT("'" &amp; F35 &amp; "'!$e$184")</f>
        <v>1</v>
      </c>
      <c r="H35" s="37"/>
      <c r="I35" s="2" t="s">
        <v>288</v>
      </c>
      <c r="J35" s="106" cm="1">
        <f t="array" aca="1" ref="J35" ca="1">INDIRECT("'" &amp; I35 &amp; "'!$e$185")</f>
        <v>1</v>
      </c>
      <c r="K35" s="37"/>
      <c r="L35" s="2" t="s">
        <v>288</v>
      </c>
      <c r="M35" s="106" cm="1">
        <f t="array" aca="1" ref="M35" ca="1">INDIRECT("'" &amp; L35 &amp; "'!$e$186")</f>
        <v>2</v>
      </c>
      <c r="N35" s="37"/>
      <c r="O35" s="2" t="s">
        <v>288</v>
      </c>
      <c r="P35" s="106" cm="1">
        <f t="array" aca="1" ref="P35" ca="1">INDIRECT("'" &amp; O35 &amp; "'!$e$187")</f>
        <v>2</v>
      </c>
      <c r="S35" s="79"/>
      <c r="T35" s="79"/>
      <c r="U35" s="79"/>
      <c r="V35" s="79"/>
      <c r="W35" s="79"/>
      <c r="X35" s="79"/>
      <c r="Y35" s="79"/>
      <c r="Z35" s="79"/>
      <c r="AA35" s="79"/>
      <c r="AD35" s="65"/>
      <c r="AE35" s="65"/>
    </row>
    <row r="36" spans="3:31" x14ac:dyDescent="0.3">
      <c r="C36" s="2" t="s">
        <v>289</v>
      </c>
      <c r="D36" s="106" cm="1">
        <f t="array" aca="1" ref="D36" ca="1">INDIRECT("'" &amp; C36 &amp; "'!$e$183")</f>
        <v>1</v>
      </c>
      <c r="E36" s="37"/>
      <c r="F36" s="2" t="s">
        <v>289</v>
      </c>
      <c r="G36" s="106" cm="1">
        <f t="array" aca="1" ref="G36" ca="1">INDIRECT("'" &amp; F36 &amp; "'!$e$184")</f>
        <v>1</v>
      </c>
      <c r="H36" s="37"/>
      <c r="I36" s="2" t="s">
        <v>289</v>
      </c>
      <c r="J36" s="106" cm="1">
        <f t="array" aca="1" ref="J36" ca="1">INDIRECT("'" &amp; I36 &amp; "'!$e$185")</f>
        <v>1</v>
      </c>
      <c r="K36" s="37"/>
      <c r="L36" s="2" t="s">
        <v>289</v>
      </c>
      <c r="M36" s="106" cm="1">
        <f t="array" aca="1" ref="M36" ca="1">INDIRECT("'" &amp; L36 &amp; "'!$e$186")</f>
        <v>1</v>
      </c>
      <c r="N36" s="37"/>
      <c r="O36" s="2" t="s">
        <v>289</v>
      </c>
      <c r="P36" s="106" cm="1">
        <f t="array" aca="1" ref="P36" ca="1">INDIRECT("'" &amp; O36 &amp; "'!$e$187")</f>
        <v>1</v>
      </c>
      <c r="U36" s="65"/>
    </row>
    <row r="37" spans="3:31" x14ac:dyDescent="0.3">
      <c r="C37" s="2" t="s">
        <v>290</v>
      </c>
      <c r="D37" s="106" cm="1">
        <f t="array" aca="1" ref="D37" ca="1">INDIRECT("'" &amp; C37 &amp; "'!$e$183")</f>
        <v>2</v>
      </c>
      <c r="E37" s="37"/>
      <c r="F37" s="2" t="s">
        <v>290</v>
      </c>
      <c r="G37" s="106" cm="1">
        <f t="array" aca="1" ref="G37" ca="1">INDIRECT("'" &amp; F37 &amp; "'!$e$184")</f>
        <v>2</v>
      </c>
      <c r="H37" s="37"/>
      <c r="I37" s="2" t="s">
        <v>290</v>
      </c>
      <c r="J37" s="106" cm="1">
        <f t="array" aca="1" ref="J37" ca="1">INDIRECT("'" &amp; I37 &amp; "'!$e$185")</f>
        <v>1</v>
      </c>
      <c r="K37" s="37"/>
      <c r="L37" s="2" t="s">
        <v>290</v>
      </c>
      <c r="M37" s="106" cm="1">
        <f t="array" aca="1" ref="M37" ca="1">INDIRECT("'" &amp; L37 &amp; "'!$e$186")</f>
        <v>1</v>
      </c>
      <c r="N37" s="37"/>
      <c r="O37" s="2" t="s">
        <v>290</v>
      </c>
      <c r="P37" s="106" cm="1">
        <f t="array" aca="1" ref="P37" ca="1">INDIRECT("'" &amp; O37 &amp; "'!$e$187")</f>
        <v>1</v>
      </c>
      <c r="U37" s="65"/>
    </row>
    <row r="38" spans="3:31" x14ac:dyDescent="0.3">
      <c r="C38" s="2" t="s">
        <v>291</v>
      </c>
      <c r="D38" s="106" cm="1">
        <f t="array" aca="1" ref="D38" ca="1">INDIRECT("'" &amp; C38 &amp; "'!$e$183")</f>
        <v>1</v>
      </c>
      <c r="E38" s="37"/>
      <c r="F38" s="2" t="s">
        <v>291</v>
      </c>
      <c r="G38" s="106" cm="1">
        <f t="array" aca="1" ref="G38" ca="1">INDIRECT("'" &amp; F38 &amp; "'!$e$184")</f>
        <v>1</v>
      </c>
      <c r="H38" s="37"/>
      <c r="I38" s="2" t="s">
        <v>291</v>
      </c>
      <c r="J38" s="106" cm="1">
        <f t="array" aca="1" ref="J38" ca="1">INDIRECT("'" &amp; I38 &amp; "'!$e$185")</f>
        <v>1</v>
      </c>
      <c r="K38" s="37"/>
      <c r="L38" s="2" t="s">
        <v>291</v>
      </c>
      <c r="M38" s="106" cm="1">
        <f t="array" aca="1" ref="M38" ca="1">INDIRECT("'" &amp; L38 &amp; "'!$e$186")</f>
        <v>1</v>
      </c>
      <c r="N38" s="37"/>
      <c r="O38" s="2" t="s">
        <v>291</v>
      </c>
      <c r="P38" s="106" cm="1">
        <f t="array" aca="1" ref="P38" ca="1">INDIRECT("'" &amp; O38 &amp; "'!$e$187")</f>
        <v>1</v>
      </c>
      <c r="Q38" s="80"/>
      <c r="U38" s="65"/>
    </row>
    <row r="39" spans="3:31" x14ac:dyDescent="0.3">
      <c r="C39" s="2" t="s">
        <v>292</v>
      </c>
      <c r="D39" s="106" cm="1">
        <f t="array" aca="1" ref="D39" ca="1">INDIRECT("'" &amp; C39 &amp; "'!$e$183")</f>
        <v>1</v>
      </c>
      <c r="E39" s="37"/>
      <c r="F39" s="2" t="s">
        <v>292</v>
      </c>
      <c r="G39" s="106" cm="1">
        <f t="array" aca="1" ref="G39" ca="1">INDIRECT("'" &amp; F39 &amp; "'!$e$184")</f>
        <v>1</v>
      </c>
      <c r="H39" s="37"/>
      <c r="I39" s="2" t="s">
        <v>292</v>
      </c>
      <c r="J39" s="106" cm="1">
        <f t="array" aca="1" ref="J39" ca="1">INDIRECT("'" &amp; I39 &amp; "'!$e$185")</f>
        <v>1</v>
      </c>
      <c r="K39" s="37"/>
      <c r="L39" s="2" t="s">
        <v>292</v>
      </c>
      <c r="M39" s="106" cm="1">
        <f t="array" aca="1" ref="M39" ca="1">INDIRECT("'" &amp; L39 &amp; "'!$e$186")</f>
        <v>2</v>
      </c>
      <c r="N39" s="37"/>
      <c r="O39" s="2" t="s">
        <v>292</v>
      </c>
      <c r="P39" s="106" cm="1">
        <f t="array" aca="1" ref="P39" ca="1">INDIRECT("'" &amp; O39 &amp; "'!$e$187")</f>
        <v>1</v>
      </c>
    </row>
    <row r="40" spans="3:31" x14ac:dyDescent="0.3">
      <c r="C40" s="2" t="s">
        <v>293</v>
      </c>
      <c r="D40" s="106" cm="1">
        <f t="array" aca="1" ref="D40" ca="1">INDIRECT("'" &amp; C40 &amp; "'!$e$183")</f>
        <v>1</v>
      </c>
      <c r="E40" s="37"/>
      <c r="F40" s="2" t="s">
        <v>293</v>
      </c>
      <c r="G40" s="106" cm="1">
        <f t="array" aca="1" ref="G40" ca="1">INDIRECT("'" &amp; F40 &amp; "'!$e$184")</f>
        <v>1</v>
      </c>
      <c r="H40" s="37"/>
      <c r="I40" s="2" t="s">
        <v>293</v>
      </c>
      <c r="J40" s="106" cm="1">
        <f t="array" aca="1" ref="J40" ca="1">INDIRECT("'" &amp; I40 &amp; "'!$e$185")</f>
        <v>1</v>
      </c>
      <c r="K40" s="37"/>
      <c r="L40" s="2" t="s">
        <v>293</v>
      </c>
      <c r="M40" s="106" cm="1">
        <f t="array" aca="1" ref="M40" ca="1">INDIRECT("'" &amp; L40 &amp; "'!$e$186")</f>
        <v>2</v>
      </c>
      <c r="N40" s="37"/>
      <c r="O40" s="2" t="s">
        <v>293</v>
      </c>
      <c r="P40" s="106" cm="1">
        <f t="array" aca="1" ref="P40" ca="1">INDIRECT("'" &amp; O40 &amp; "'!$e$187")</f>
        <v>1</v>
      </c>
    </row>
    <row r="41" spans="3:31" x14ac:dyDescent="0.3">
      <c r="C41" s="2" t="s">
        <v>294</v>
      </c>
      <c r="D41" s="106" cm="1">
        <f t="array" aca="1" ref="D41" ca="1">INDIRECT("'" &amp; C41 &amp; "'!$e$183")</f>
        <v>1</v>
      </c>
      <c r="E41" s="37"/>
      <c r="F41" s="2" t="s">
        <v>294</v>
      </c>
      <c r="G41" s="106" cm="1">
        <f t="array" aca="1" ref="G41" ca="1">INDIRECT("'" &amp; F41 &amp; "'!$e$184")</f>
        <v>2</v>
      </c>
      <c r="H41" s="37"/>
      <c r="I41" s="2" t="s">
        <v>294</v>
      </c>
      <c r="J41" s="106" cm="1">
        <f t="array" aca="1" ref="J41" ca="1">INDIRECT("'" &amp; I41 &amp; "'!$e$185")</f>
        <v>1</v>
      </c>
      <c r="K41" s="37"/>
      <c r="L41" s="2" t="s">
        <v>294</v>
      </c>
      <c r="M41" s="106" cm="1">
        <f t="array" aca="1" ref="M41" ca="1">INDIRECT("'" &amp; L41 &amp; "'!$e$186")</f>
        <v>2</v>
      </c>
      <c r="N41" s="37"/>
      <c r="O41" s="2" t="s">
        <v>294</v>
      </c>
      <c r="P41" s="106" cm="1">
        <f t="array" aca="1" ref="P41" ca="1">INDIRECT("'" &amp; O41 &amp; "'!$e$187")</f>
        <v>1</v>
      </c>
      <c r="S41" s="79"/>
      <c r="T41" s="79"/>
      <c r="U41" s="79"/>
      <c r="V41" s="79"/>
      <c r="W41" s="79"/>
      <c r="X41" s="79"/>
    </row>
    <row r="42" spans="3:31" x14ac:dyDescent="0.3">
      <c r="C42" s="2" t="s">
        <v>295</v>
      </c>
      <c r="D42" s="106" cm="1">
        <f t="array" aca="1" ref="D42" ca="1">INDIRECT("'" &amp; C42 &amp; "'!$e$183")</f>
        <v>1</v>
      </c>
      <c r="E42" s="37"/>
      <c r="F42" s="2" t="s">
        <v>295</v>
      </c>
      <c r="G42" s="106" cm="1">
        <f t="array" aca="1" ref="G42" ca="1">INDIRECT("'" &amp; F42 &amp; "'!$e$184")</f>
        <v>1</v>
      </c>
      <c r="H42" s="37"/>
      <c r="I42" s="2" t="s">
        <v>295</v>
      </c>
      <c r="J42" s="106" cm="1">
        <f t="array" aca="1" ref="J42" ca="1">INDIRECT("'" &amp; I42 &amp; "'!$e$185")</f>
        <v>1</v>
      </c>
      <c r="K42" s="37"/>
      <c r="L42" s="2" t="s">
        <v>295</v>
      </c>
      <c r="M42" s="106" cm="1">
        <f t="array" aca="1" ref="M42" ca="1">INDIRECT("'" &amp; L42 &amp; "'!$e$186")</f>
        <v>1</v>
      </c>
      <c r="N42" s="37"/>
      <c r="O42" s="2" t="s">
        <v>295</v>
      </c>
      <c r="P42" s="106" cm="1">
        <f t="array" aca="1" ref="P42" ca="1">INDIRECT("'" &amp; O42 &amp; "'!$e$187")</f>
        <v>1</v>
      </c>
      <c r="X42" s="70"/>
    </row>
    <row r="43" spans="3:31" x14ac:dyDescent="0.3">
      <c r="C43" s="2" t="s">
        <v>296</v>
      </c>
      <c r="D43" s="106" cm="1">
        <f t="array" aca="1" ref="D43" ca="1">INDIRECT("'" &amp; C43 &amp; "'!$e$183")</f>
        <v>1</v>
      </c>
      <c r="E43" s="37"/>
      <c r="F43" s="2" t="s">
        <v>296</v>
      </c>
      <c r="G43" s="106" cm="1">
        <f t="array" aca="1" ref="G43" ca="1">INDIRECT("'" &amp; F43 &amp; "'!$e$184")</f>
        <v>1</v>
      </c>
      <c r="H43" s="37"/>
      <c r="I43" s="2" t="s">
        <v>296</v>
      </c>
      <c r="J43" s="106" cm="1">
        <f t="array" aca="1" ref="J43" ca="1">INDIRECT("'" &amp; I43 &amp; "'!$e$185")</f>
        <v>1</v>
      </c>
      <c r="K43" s="37"/>
      <c r="L43" s="2" t="s">
        <v>296</v>
      </c>
      <c r="M43" s="106" cm="1">
        <f t="array" aca="1" ref="M43" ca="1">INDIRECT("'" &amp; L43 &amp; "'!$e$186")</f>
        <v>1</v>
      </c>
      <c r="N43" s="37"/>
      <c r="O43" s="2" t="s">
        <v>296</v>
      </c>
      <c r="P43" s="106" cm="1">
        <f t="array" aca="1" ref="P43" ca="1">INDIRECT("'" &amp; O43 &amp; "'!$e$187")</f>
        <v>1</v>
      </c>
      <c r="X43" s="70"/>
      <c r="AD43" s="70"/>
      <c r="AE43" s="70"/>
    </row>
    <row r="44" spans="3:31" x14ac:dyDescent="0.3">
      <c r="C44" s="2" t="s">
        <v>297</v>
      </c>
      <c r="D44" s="106" cm="1">
        <f t="array" aca="1" ref="D44" ca="1">INDIRECT("'" &amp; C44 &amp; "'!$e$183")</f>
        <v>2</v>
      </c>
      <c r="E44" s="37"/>
      <c r="F44" s="2" t="s">
        <v>297</v>
      </c>
      <c r="G44" s="106" cm="1">
        <f t="array" aca="1" ref="G44" ca="1">INDIRECT("'" &amp; F44 &amp; "'!$e$184")</f>
        <v>1</v>
      </c>
      <c r="H44" s="37"/>
      <c r="I44" s="2" t="s">
        <v>297</v>
      </c>
      <c r="J44" s="106" cm="1">
        <f t="array" aca="1" ref="J44" ca="1">INDIRECT("'" &amp; I44 &amp; "'!$e$185")</f>
        <v>1</v>
      </c>
      <c r="K44" s="37"/>
      <c r="L44" s="2" t="s">
        <v>297</v>
      </c>
      <c r="M44" s="106" cm="1">
        <f t="array" aca="1" ref="M44" ca="1">INDIRECT("'" &amp; L44 &amp; "'!$e$186")</f>
        <v>2</v>
      </c>
      <c r="N44" s="37"/>
      <c r="O44" s="2" t="s">
        <v>297</v>
      </c>
      <c r="P44" s="106" cm="1">
        <f t="array" aca="1" ref="P44" ca="1">INDIRECT("'" &amp; O44 &amp; "'!$e$187")</f>
        <v>1</v>
      </c>
    </row>
    <row r="45" spans="3:31" x14ac:dyDescent="0.3">
      <c r="C45" s="2" t="s">
        <v>298</v>
      </c>
      <c r="D45" s="106" cm="1">
        <f t="array" aca="1" ref="D45" ca="1">INDIRECT("'" &amp; C45 &amp; "'!$e$183")</f>
        <v>1</v>
      </c>
      <c r="E45" s="37"/>
      <c r="F45" s="2" t="s">
        <v>298</v>
      </c>
      <c r="G45" s="106" cm="1">
        <f t="array" aca="1" ref="G45" ca="1">INDIRECT("'" &amp; F45 &amp; "'!$e$184")</f>
        <v>1</v>
      </c>
      <c r="H45" s="37"/>
      <c r="I45" s="2" t="s">
        <v>298</v>
      </c>
      <c r="J45" s="106" cm="1">
        <f t="array" aca="1" ref="J45" ca="1">INDIRECT("'" &amp; I45 &amp; "'!$e$185")</f>
        <v>1</v>
      </c>
      <c r="K45" s="37"/>
      <c r="L45" s="2" t="s">
        <v>298</v>
      </c>
      <c r="M45" s="106" cm="1">
        <f t="array" aca="1" ref="M45" ca="1">INDIRECT("'" &amp; L45 &amp; "'!$e$186")</f>
        <v>2</v>
      </c>
      <c r="N45" s="37"/>
      <c r="O45" s="2" t="s">
        <v>298</v>
      </c>
      <c r="P45" s="106" cm="1">
        <f t="array" aca="1" ref="P45" ca="1">INDIRECT("'" &amp; O45 &amp; "'!$e$187")</f>
        <v>1</v>
      </c>
      <c r="Q45" s="80"/>
    </row>
    <row r="46" spans="3:31" x14ac:dyDescent="0.3">
      <c r="C46" s="2" t="s">
        <v>299</v>
      </c>
      <c r="D46" s="106" cm="1">
        <f t="array" aca="1" ref="D46" ca="1">INDIRECT("'" &amp; C46 &amp; "'!$e$183")</f>
        <v>1</v>
      </c>
      <c r="E46" s="37"/>
      <c r="F46" s="2" t="s">
        <v>299</v>
      </c>
      <c r="G46" s="106" cm="1">
        <f t="array" aca="1" ref="G46" ca="1">INDIRECT("'" &amp; F46 &amp; "'!$e$184")</f>
        <v>1</v>
      </c>
      <c r="H46" s="37"/>
      <c r="I46" s="2" t="s">
        <v>299</v>
      </c>
      <c r="J46" s="106" cm="1">
        <f t="array" aca="1" ref="J46" ca="1">INDIRECT("'" &amp; I46 &amp; "'!$e$185")</f>
        <v>1</v>
      </c>
      <c r="K46" s="37"/>
      <c r="L46" s="2" t="s">
        <v>299</v>
      </c>
      <c r="M46" s="106" cm="1">
        <f t="array" aca="1" ref="M46" ca="1">INDIRECT("'" &amp; L46 &amp; "'!$e$186")</f>
        <v>1</v>
      </c>
      <c r="N46" s="37"/>
      <c r="O46" s="2" t="s">
        <v>299</v>
      </c>
      <c r="P46" s="106" cm="1">
        <f t="array" aca="1" ref="P46" ca="1">INDIRECT("'" &amp; O46 &amp; "'!$e$187")</f>
        <v>1</v>
      </c>
    </row>
    <row r="47" spans="3:31" x14ac:dyDescent="0.3">
      <c r="C47" s="2" t="s">
        <v>395</v>
      </c>
      <c r="D47" s="106" cm="1">
        <f t="array" aca="1" ref="D47" ca="1">INDIRECT("'" &amp; C47 &amp; "'!$e$183")</f>
        <v>1</v>
      </c>
      <c r="E47" s="37"/>
      <c r="F47" s="2" t="s">
        <v>395</v>
      </c>
      <c r="G47" s="106" cm="1">
        <f t="array" aca="1" ref="G47" ca="1">INDIRECT("'" &amp; F47 &amp; "'!$e$184")</f>
        <v>1</v>
      </c>
      <c r="H47" s="37"/>
      <c r="I47" s="2" t="s">
        <v>395</v>
      </c>
      <c r="J47" s="106" cm="1">
        <f t="array" aca="1" ref="J47" ca="1">INDIRECT("'" &amp; I47 &amp; "'!$e$185")</f>
        <v>1</v>
      </c>
      <c r="K47" s="37"/>
      <c r="L47" s="2" t="s">
        <v>395</v>
      </c>
      <c r="M47" s="106" cm="1">
        <f t="array" aca="1" ref="M47" ca="1">INDIRECT("'" &amp; L47 &amp; "'!$e$186")</f>
        <v>1</v>
      </c>
      <c r="N47" s="37"/>
      <c r="O47" s="2" t="s">
        <v>395</v>
      </c>
      <c r="P47" s="106" cm="1">
        <f t="array" aca="1" ref="P47" ca="1">INDIRECT("'" &amp; O47 &amp; "'!$e$187")</f>
        <v>1</v>
      </c>
    </row>
    <row r="48" spans="3:31" x14ac:dyDescent="0.3">
      <c r="C48" s="2" t="s">
        <v>396</v>
      </c>
      <c r="D48" s="106" cm="1">
        <f t="array" aca="1" ref="D48" ca="1">INDIRECT("'" &amp; C48 &amp; "'!$e$183")</f>
        <v>1</v>
      </c>
      <c r="E48" s="37"/>
      <c r="F48" s="2" t="s">
        <v>396</v>
      </c>
      <c r="G48" s="106" cm="1">
        <f t="array" aca="1" ref="G48" ca="1">INDIRECT("'" &amp; F48 &amp; "'!$e$184")</f>
        <v>1</v>
      </c>
      <c r="H48" s="37"/>
      <c r="I48" s="2" t="s">
        <v>396</v>
      </c>
      <c r="J48" s="106" cm="1">
        <f t="array" aca="1" ref="J48" ca="1">INDIRECT("'" &amp; I48 &amp; "'!$e$185")</f>
        <v>1</v>
      </c>
      <c r="K48" s="37"/>
      <c r="L48" s="2" t="s">
        <v>396</v>
      </c>
      <c r="M48" s="106" cm="1">
        <f t="array" aca="1" ref="M48" ca="1">INDIRECT("'" &amp; L48 &amp; "'!$e$186")</f>
        <v>1</v>
      </c>
      <c r="N48" s="37"/>
      <c r="O48" s="2" t="s">
        <v>396</v>
      </c>
      <c r="P48" s="106" cm="1">
        <f t="array" aca="1" ref="P48" ca="1">INDIRECT("'" &amp; O48 &amp; "'!$e$187")</f>
        <v>1</v>
      </c>
    </row>
    <row r="49" spans="3:31" x14ac:dyDescent="0.3">
      <c r="C49" s="2" t="s">
        <v>397</v>
      </c>
      <c r="D49" s="106" cm="1">
        <f t="array" aca="1" ref="D49" ca="1">INDIRECT("'" &amp; C49 &amp; "'!$e$183")</f>
        <v>1</v>
      </c>
      <c r="E49" s="37"/>
      <c r="F49" s="2" t="s">
        <v>397</v>
      </c>
      <c r="G49" s="106" cm="1">
        <f t="array" aca="1" ref="G49" ca="1">INDIRECT("'" &amp; F49 &amp; "'!$e$184")</f>
        <v>1</v>
      </c>
      <c r="H49" s="37"/>
      <c r="I49" s="2" t="s">
        <v>397</v>
      </c>
      <c r="J49" s="106" cm="1">
        <f t="array" aca="1" ref="J49" ca="1">INDIRECT("'" &amp; I49 &amp; "'!$e$185")</f>
        <v>1</v>
      </c>
      <c r="K49" s="37"/>
      <c r="L49" s="2" t="s">
        <v>397</v>
      </c>
      <c r="M49" s="106" cm="1">
        <f t="array" aca="1" ref="M49" ca="1">INDIRECT("'" &amp; L49 &amp; "'!$e$186")</f>
        <v>2</v>
      </c>
      <c r="N49" s="37"/>
      <c r="O49" s="2" t="s">
        <v>397</v>
      </c>
      <c r="P49" s="106" cm="1">
        <f t="array" aca="1" ref="P49" ca="1">INDIRECT("'" &amp; O49 &amp; "'!$e$187")</f>
        <v>1</v>
      </c>
    </row>
    <row r="50" spans="3:31" x14ac:dyDescent="0.3">
      <c r="C50" s="2" t="s">
        <v>398</v>
      </c>
      <c r="D50" s="106" cm="1">
        <f t="array" aca="1" ref="D50" ca="1">INDIRECT("'" &amp; C50 &amp; "'!$e$183")</f>
        <v>1</v>
      </c>
      <c r="E50" s="37"/>
      <c r="F50" s="2" t="s">
        <v>398</v>
      </c>
      <c r="G50" s="106" cm="1">
        <f t="array" aca="1" ref="G50" ca="1">INDIRECT("'" &amp; F50 &amp; "'!$e$184")</f>
        <v>1</v>
      </c>
      <c r="H50" s="37"/>
      <c r="I50" s="2" t="s">
        <v>398</v>
      </c>
      <c r="J50" s="106" cm="1">
        <f t="array" aca="1" ref="J50" ca="1">INDIRECT("'" &amp; I50 &amp; "'!$e$185")</f>
        <v>2</v>
      </c>
      <c r="K50" s="37"/>
      <c r="L50" s="2" t="s">
        <v>398</v>
      </c>
      <c r="M50" s="106" cm="1">
        <f t="array" aca="1" ref="M50" ca="1">INDIRECT("'" &amp; L50 &amp; "'!$e$186")</f>
        <v>1</v>
      </c>
      <c r="N50" s="37"/>
      <c r="O50" s="2" t="s">
        <v>398</v>
      </c>
      <c r="P50" s="106" cm="1">
        <f t="array" aca="1" ref="P50" ca="1">INDIRECT("'" &amp; O50 &amp; "'!$e$187")</f>
        <v>1</v>
      </c>
    </row>
    <row r="51" spans="3:31" x14ac:dyDescent="0.3">
      <c r="C51" s="2" t="s">
        <v>399</v>
      </c>
      <c r="D51" s="106" cm="1">
        <f t="array" aca="1" ref="D51" ca="1">INDIRECT("'" &amp; C51 &amp; "'!$e$183")</f>
        <v>1</v>
      </c>
      <c r="E51" s="37"/>
      <c r="F51" s="2" t="s">
        <v>399</v>
      </c>
      <c r="G51" s="106" cm="1">
        <f t="array" aca="1" ref="G51" ca="1">INDIRECT("'" &amp; F51 &amp; "'!$e$184")</f>
        <v>1</v>
      </c>
      <c r="H51" s="37"/>
      <c r="I51" s="2" t="s">
        <v>399</v>
      </c>
      <c r="J51" s="106" cm="1">
        <f t="array" aca="1" ref="J51" ca="1">INDIRECT("'" &amp; I51 &amp; "'!$e$185")</f>
        <v>1</v>
      </c>
      <c r="K51" s="37"/>
      <c r="L51" s="2" t="s">
        <v>399</v>
      </c>
      <c r="M51" s="106" cm="1">
        <f t="array" aca="1" ref="M51" ca="1">INDIRECT("'" &amp; L51 &amp; "'!$e$186")</f>
        <v>2</v>
      </c>
      <c r="O51" s="2" t="s">
        <v>399</v>
      </c>
      <c r="P51" s="106" cm="1">
        <f t="array" aca="1" ref="P51" ca="1">INDIRECT("'" &amp; O51 &amp; "'!$e$187")</f>
        <v>1</v>
      </c>
    </row>
    <row r="52" spans="3:31" x14ac:dyDescent="0.3">
      <c r="C52" s="2" t="s">
        <v>400</v>
      </c>
      <c r="D52" s="106" cm="1">
        <f t="array" aca="1" ref="D52" ca="1">INDIRECT("'" &amp; C52 &amp; "'!$e$183")</f>
        <v>2</v>
      </c>
      <c r="E52" s="37"/>
      <c r="F52" s="2" t="s">
        <v>400</v>
      </c>
      <c r="G52" s="106" cm="1">
        <f t="array" aca="1" ref="G52" ca="1">INDIRECT("'" &amp; F52 &amp; "'!$e$184")</f>
        <v>2</v>
      </c>
      <c r="H52" s="37"/>
      <c r="I52" s="2" t="s">
        <v>400</v>
      </c>
      <c r="J52" s="106" cm="1">
        <f t="array" aca="1" ref="J52" ca="1">INDIRECT("'" &amp; I52 &amp; "'!$e$185")</f>
        <v>2</v>
      </c>
      <c r="L52" s="2" t="s">
        <v>400</v>
      </c>
      <c r="M52" s="106" cm="1">
        <f t="array" aca="1" ref="M52" ca="1">INDIRECT("'" &amp; L52 &amp; "'!$e$186")</f>
        <v>2</v>
      </c>
      <c r="O52" s="2" t="s">
        <v>400</v>
      </c>
      <c r="P52" s="106" cm="1">
        <f t="array" aca="1" ref="P52" ca="1">INDIRECT("'" &amp; O52 &amp; "'!$e$187")</f>
        <v>1</v>
      </c>
    </row>
    <row r="54" spans="3:31" x14ac:dyDescent="0.3">
      <c r="C54">
        <v>1</v>
      </c>
      <c r="D54" s="128">
        <f ca="1">(COUNTIF(D32:D52, C54))/COUNT(D32:D52)</f>
        <v>0.8571428571428571</v>
      </c>
      <c r="F54">
        <v>1</v>
      </c>
      <c r="G54" s="128">
        <f ca="1">(COUNTIF(G32:G52, F54))/COUNT(G32:G52)</f>
        <v>0.8571428571428571</v>
      </c>
      <c r="I54">
        <v>1</v>
      </c>
      <c r="J54" s="128">
        <f ca="1">(COUNTIF(J32:J52, I54))/COUNT(J32:J52)</f>
        <v>0.90476190476190477</v>
      </c>
      <c r="L54">
        <v>1</v>
      </c>
      <c r="M54" s="128">
        <f ca="1">(COUNTIF(M32:M52, L54))/COUNT(M32:M52)</f>
        <v>0.5714285714285714</v>
      </c>
      <c r="N54" s="83"/>
      <c r="O54">
        <v>1</v>
      </c>
      <c r="P54" s="128">
        <f ca="1">(COUNTIF(P32:P52, O54))/COUNT(P32:P52)</f>
        <v>0.95238095238095233</v>
      </c>
    </row>
    <row r="55" spans="3:31" x14ac:dyDescent="0.3">
      <c r="C55">
        <v>2</v>
      </c>
      <c r="D55" s="128">
        <f ca="1">(COUNTIF(D32:D52, C55))/COUNT(D32:D52)</f>
        <v>0.14285714285714285</v>
      </c>
      <c r="F55">
        <v>2</v>
      </c>
      <c r="G55" s="128">
        <f ca="1">(COUNTIF(G32:G52, F55))/COUNT(G32:G52)</f>
        <v>0.14285714285714285</v>
      </c>
      <c r="I55">
        <v>2</v>
      </c>
      <c r="J55" s="128">
        <f ca="1">(COUNTIF(J32:J52, I55))/COUNT(J32:J52)</f>
        <v>9.5238095238095233E-2</v>
      </c>
      <c r="K55" s="83"/>
      <c r="L55">
        <v>2</v>
      </c>
      <c r="M55" s="128">
        <f ca="1">(COUNTIF(M32:M52, L55))/COUNT(M32:M52)</f>
        <v>0.42857142857142855</v>
      </c>
      <c r="N55" s="2"/>
      <c r="O55">
        <v>2</v>
      </c>
      <c r="P55" s="128">
        <f ca="1">(COUNTIF(P32:P52, O55))/COUNT(P32:P52)</f>
        <v>4.7619047619047616E-2</v>
      </c>
    </row>
    <row r="56" spans="3:31" x14ac:dyDescent="0.3">
      <c r="C56" s="79"/>
      <c r="D56" s="79"/>
      <c r="F56" s="79"/>
      <c r="G56" s="79"/>
    </row>
    <row r="61" spans="3:31" x14ac:dyDescent="0.3">
      <c r="N61" s="79"/>
      <c r="P61" s="79"/>
      <c r="Q61" s="79"/>
    </row>
    <row r="62" spans="3:31" x14ac:dyDescent="0.3">
      <c r="N62" s="65"/>
      <c r="S62" s="79"/>
      <c r="T62" s="79"/>
      <c r="U62" s="79"/>
      <c r="V62" s="79"/>
      <c r="W62" s="79"/>
      <c r="X62" s="79"/>
      <c r="Y62" s="79"/>
      <c r="Z62" s="79"/>
      <c r="AA62" s="79"/>
      <c r="AD62" s="65"/>
      <c r="AE62" s="65"/>
    </row>
    <row r="63" spans="3:31" x14ac:dyDescent="0.3">
      <c r="U63" s="65"/>
    </row>
    <row r="64" spans="3:31" x14ac:dyDescent="0.3">
      <c r="N64" s="65"/>
      <c r="U64" s="65"/>
    </row>
    <row r="65" spans="14:31" x14ac:dyDescent="0.3">
      <c r="Q65" s="80"/>
      <c r="U65" s="65"/>
    </row>
    <row r="68" spans="14:31" x14ac:dyDescent="0.3">
      <c r="S68" s="79"/>
      <c r="T68" s="79"/>
      <c r="U68" s="79"/>
      <c r="V68" s="79"/>
      <c r="W68" s="79"/>
      <c r="X68" s="79"/>
    </row>
    <row r="69" spans="14:31" x14ac:dyDescent="0.3">
      <c r="X69" s="70"/>
    </row>
    <row r="70" spans="14:31" x14ac:dyDescent="0.3">
      <c r="X70" s="70"/>
      <c r="AD70" s="70"/>
      <c r="AE70" s="70"/>
    </row>
    <row r="71" spans="14:31" x14ac:dyDescent="0.3">
      <c r="N71" s="65"/>
    </row>
    <row r="72" spans="14:31" x14ac:dyDescent="0.3">
      <c r="N72" s="65"/>
      <c r="Q72" s="80"/>
    </row>
    <row r="73" spans="14:31" x14ac:dyDescent="0.3">
      <c r="N73" s="65"/>
    </row>
    <row r="83" spans="5:31" x14ac:dyDescent="0.3">
      <c r="E83" s="83"/>
      <c r="G83" s="107"/>
      <c r="J83" s="107"/>
    </row>
    <row r="87" spans="5:31" x14ac:dyDescent="0.3">
      <c r="K87" s="79"/>
      <c r="M87" s="79"/>
      <c r="N87" s="79"/>
      <c r="P87" s="79"/>
      <c r="Q87" s="79"/>
    </row>
    <row r="88" spans="5:31" x14ac:dyDescent="0.3">
      <c r="N88" s="65"/>
      <c r="S88" s="79"/>
      <c r="T88" s="79"/>
      <c r="U88" s="79"/>
      <c r="V88" s="79"/>
      <c r="W88" s="79"/>
      <c r="X88" s="79"/>
      <c r="Y88" s="79"/>
      <c r="Z88" s="79"/>
      <c r="AA88" s="79"/>
      <c r="AD88" s="65"/>
      <c r="AE88" s="65"/>
    </row>
    <row r="89" spans="5:31" x14ac:dyDescent="0.3">
      <c r="U89" s="65"/>
    </row>
    <row r="90" spans="5:31" x14ac:dyDescent="0.3">
      <c r="N90" s="65"/>
      <c r="U90" s="65"/>
    </row>
    <row r="91" spans="5:31" x14ac:dyDescent="0.3">
      <c r="K91" s="80"/>
      <c r="Q91" s="80"/>
      <c r="U91" s="65"/>
    </row>
    <row r="94" spans="5:31" x14ac:dyDescent="0.3">
      <c r="S94" s="79"/>
      <c r="T94" s="79"/>
      <c r="U94" s="79"/>
      <c r="V94" s="79"/>
      <c r="W94" s="79"/>
      <c r="X94" s="79"/>
    </row>
    <row r="95" spans="5:31" x14ac:dyDescent="0.3">
      <c r="X95" s="70"/>
    </row>
    <row r="96" spans="5:31" x14ac:dyDescent="0.3">
      <c r="X96" s="70"/>
      <c r="AD96" s="70"/>
      <c r="AE96" s="70"/>
    </row>
    <row r="97" spans="5:17" x14ac:dyDescent="0.3">
      <c r="N97" s="65"/>
    </row>
    <row r="98" spans="5:17" x14ac:dyDescent="0.3">
      <c r="K98" s="80"/>
      <c r="N98" s="65"/>
      <c r="Q98" s="80"/>
    </row>
    <row r="99" spans="5:17" x14ac:dyDescent="0.3">
      <c r="N99" s="65"/>
    </row>
    <row r="110" spans="5:17" x14ac:dyDescent="0.3">
      <c r="E110" s="2"/>
      <c r="F110" s="2"/>
      <c r="G110" s="37"/>
      <c r="I110" s="2"/>
      <c r="J110" s="37"/>
    </row>
    <row r="113" spans="8:31" x14ac:dyDescent="0.3">
      <c r="H113" s="79"/>
      <c r="I113" s="79"/>
      <c r="J113" s="79"/>
      <c r="K113" s="79"/>
      <c r="M113" s="79"/>
      <c r="N113" s="79"/>
      <c r="P113" s="79"/>
      <c r="Q113" s="79"/>
    </row>
    <row r="114" spans="8:31" x14ac:dyDescent="0.3">
      <c r="H114" s="65"/>
      <c r="N114" s="65"/>
      <c r="S114" s="79"/>
      <c r="T114" s="79"/>
      <c r="U114" s="79"/>
      <c r="V114" s="79"/>
      <c r="W114" s="79"/>
      <c r="X114" s="79"/>
      <c r="Y114" s="79"/>
      <c r="Z114" s="79"/>
      <c r="AA114" s="79"/>
      <c r="AD114" s="65"/>
      <c r="AE114" s="65"/>
    </row>
    <row r="115" spans="8:31" x14ac:dyDescent="0.3">
      <c r="U115" s="65"/>
    </row>
    <row r="116" spans="8:31" x14ac:dyDescent="0.3">
      <c r="H116" s="65"/>
      <c r="N116" s="65"/>
      <c r="U116" s="65"/>
    </row>
    <row r="117" spans="8:31" x14ac:dyDescent="0.3">
      <c r="J117" s="80"/>
      <c r="K117" s="80"/>
      <c r="Q117" s="80"/>
      <c r="U117" s="65"/>
    </row>
    <row r="120" spans="8:31" x14ac:dyDescent="0.3">
      <c r="S120" s="79"/>
      <c r="T120" s="79"/>
      <c r="U120" s="79"/>
      <c r="V120" s="79"/>
      <c r="W120" s="79"/>
      <c r="X120" s="79"/>
    </row>
    <row r="121" spans="8:31" x14ac:dyDescent="0.3">
      <c r="X121" s="70"/>
    </row>
    <row r="122" spans="8:31" x14ac:dyDescent="0.3">
      <c r="X122" s="70"/>
      <c r="AD122" s="70"/>
      <c r="AE122" s="70"/>
    </row>
    <row r="123" spans="8:31" x14ac:dyDescent="0.3">
      <c r="H123" s="65"/>
      <c r="N123" s="65"/>
    </row>
    <row r="124" spans="8:31" x14ac:dyDescent="0.3">
      <c r="H124" s="65"/>
      <c r="J124" s="80"/>
      <c r="K124" s="80"/>
      <c r="N124" s="65"/>
      <c r="Q124" s="80"/>
    </row>
    <row r="125" spans="8:31" x14ac:dyDescent="0.3">
      <c r="H125" s="65"/>
      <c r="N125" s="65"/>
    </row>
    <row r="135" spans="5:31" x14ac:dyDescent="0.3">
      <c r="J135" s="107"/>
    </row>
    <row r="136" spans="5:31" x14ac:dyDescent="0.3">
      <c r="I136" s="2"/>
      <c r="J136" s="37"/>
    </row>
    <row r="137" spans="5:31" x14ac:dyDescent="0.3">
      <c r="E137" s="37"/>
      <c r="F137" s="2"/>
    </row>
    <row r="138" spans="5:31" x14ac:dyDescent="0.3">
      <c r="E138" s="37"/>
      <c r="F138" s="2"/>
    </row>
    <row r="139" spans="5:31" x14ac:dyDescent="0.3">
      <c r="E139" s="37"/>
      <c r="F139" s="2"/>
      <c r="G139" s="79"/>
      <c r="H139" s="79"/>
      <c r="I139" s="79"/>
      <c r="J139" s="79"/>
      <c r="K139" s="79"/>
      <c r="M139" s="79"/>
      <c r="N139" s="79"/>
      <c r="P139" s="79"/>
      <c r="Q139" s="79"/>
    </row>
    <row r="140" spans="5:31" x14ac:dyDescent="0.3">
      <c r="E140" s="37"/>
      <c r="F140" s="2"/>
      <c r="G140" s="65"/>
      <c r="H140" s="65"/>
      <c r="N140" s="65"/>
      <c r="S140" s="79"/>
      <c r="T140" s="79"/>
      <c r="U140" s="79"/>
      <c r="V140" s="79"/>
      <c r="W140" s="79"/>
      <c r="X140" s="79"/>
      <c r="Y140" s="79"/>
      <c r="Z140" s="79"/>
      <c r="AA140" s="79"/>
      <c r="AD140" s="65"/>
      <c r="AE140" s="65"/>
    </row>
    <row r="141" spans="5:31" x14ac:dyDescent="0.3">
      <c r="E141" s="37"/>
      <c r="F141" s="2"/>
      <c r="U141" s="65"/>
    </row>
    <row r="142" spans="5:31" x14ac:dyDescent="0.3">
      <c r="E142" s="37"/>
      <c r="F142" s="2"/>
      <c r="G142" s="65"/>
      <c r="H142" s="65"/>
      <c r="N142" s="65"/>
      <c r="U142" s="65"/>
    </row>
    <row r="143" spans="5:31" x14ac:dyDescent="0.3">
      <c r="E143" s="37"/>
      <c r="F143" s="2"/>
      <c r="J143" s="80"/>
      <c r="K143" s="80"/>
      <c r="Q143" s="80"/>
      <c r="U143" s="65"/>
    </row>
    <row r="144" spans="5:31" x14ac:dyDescent="0.3">
      <c r="E144" s="37"/>
      <c r="F144" s="2"/>
    </row>
    <row r="145" spans="5:31" x14ac:dyDescent="0.3">
      <c r="E145" s="37"/>
      <c r="F145" s="2"/>
    </row>
    <row r="146" spans="5:31" x14ac:dyDescent="0.3">
      <c r="E146" s="37"/>
      <c r="F146" s="2"/>
      <c r="S146" s="79"/>
      <c r="T146" s="79"/>
      <c r="U146" s="79"/>
      <c r="V146" s="79"/>
      <c r="W146" s="79"/>
      <c r="X146" s="79"/>
    </row>
    <row r="147" spans="5:31" x14ac:dyDescent="0.3">
      <c r="E147" s="37"/>
      <c r="F147" s="2"/>
      <c r="X147" s="70"/>
    </row>
    <row r="148" spans="5:31" x14ac:dyDescent="0.3">
      <c r="E148" s="37"/>
      <c r="F148" s="2"/>
      <c r="X148" s="70"/>
      <c r="AD148" s="70"/>
      <c r="AE148" s="70"/>
    </row>
    <row r="149" spans="5:31" x14ac:dyDescent="0.3">
      <c r="E149" s="37"/>
      <c r="F149" s="2"/>
      <c r="G149" s="65"/>
      <c r="H149" s="65"/>
      <c r="N149" s="65"/>
    </row>
    <row r="150" spans="5:31" x14ac:dyDescent="0.3">
      <c r="E150" s="37"/>
      <c r="F150" s="2"/>
      <c r="G150" s="65"/>
      <c r="H150" s="65"/>
      <c r="J150" s="80"/>
      <c r="K150" s="80"/>
      <c r="N150" s="65"/>
      <c r="Q150" s="80"/>
    </row>
    <row r="151" spans="5:31" x14ac:dyDescent="0.3">
      <c r="E151" s="37"/>
      <c r="F151" s="2"/>
      <c r="G151" s="65"/>
      <c r="H151" s="65"/>
      <c r="N151" s="65"/>
    </row>
    <row r="152" spans="5:31" x14ac:dyDescent="0.3">
      <c r="E152" s="37"/>
      <c r="F152" s="2"/>
    </row>
    <row r="153" spans="5:31" x14ac:dyDescent="0.3">
      <c r="E153" s="37"/>
      <c r="F153" s="2"/>
    </row>
    <row r="154" spans="5:31" x14ac:dyDescent="0.3">
      <c r="E154" s="37"/>
      <c r="F154" s="2"/>
    </row>
    <row r="155" spans="5:31" x14ac:dyDescent="0.3">
      <c r="E155" s="37"/>
      <c r="F155" s="2"/>
    </row>
    <row r="156" spans="5:31" x14ac:dyDescent="0.3">
      <c r="E156" s="37"/>
      <c r="F156" s="2"/>
    </row>
    <row r="157" spans="5:31" x14ac:dyDescent="0.3">
      <c r="E157" s="3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EE753-8BC5-4C44-95A4-D84278E986DF}">
  <dimension ref="B1:Q205"/>
  <sheetViews>
    <sheetView topLeftCell="B173" zoomScale="77" zoomScaleNormal="130" workbookViewId="0">
      <selection activeCell="D9" sqref="D9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" style="2" customWidth="1"/>
    <col min="4" max="4" width="9.332031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23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3.2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5</v>
      </c>
      <c r="F20" s="5">
        <f t="shared" ref="F20:F29" si="0">IF(E20="","",IF(D20="Sì", 8-E20, E20))</f>
        <v>5</v>
      </c>
      <c r="G20" s="5"/>
      <c r="H20" s="3"/>
      <c r="I20" s="9" t="s">
        <v>32</v>
      </c>
      <c r="J20" s="5">
        <f>IF(J19="","",( J19-1 )*100/6)</f>
        <v>36.666666666666671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32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5</v>
      </c>
      <c r="F22" s="5">
        <f t="shared" si="0"/>
        <v>5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3</v>
      </c>
      <c r="F23" s="5">
        <f t="shared" si="0"/>
        <v>3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3</v>
      </c>
      <c r="F24" s="5">
        <f t="shared" si="0"/>
        <v>3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2</v>
      </c>
      <c r="F25" s="5">
        <f t="shared" si="0"/>
        <v>2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3</v>
      </c>
      <c r="F26" s="5">
        <f t="shared" si="0"/>
        <v>3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3</v>
      </c>
      <c r="F27" s="5">
        <f t="shared" si="0"/>
        <v>3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1</v>
      </c>
      <c r="F28" s="5">
        <f t="shared" si="0"/>
        <v>1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6</v>
      </c>
      <c r="F29" s="5">
        <f t="shared" si="0"/>
        <v>2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5.0999999999999996</v>
      </c>
      <c r="M38" s="15">
        <f>IFERROR(AVERAGEIF(I38:I47,"&lt;&gt;"),"")</f>
        <v>5.5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7</v>
      </c>
      <c r="G39" s="10"/>
      <c r="H39" s="15">
        <f t="shared" si="1"/>
        <v>5</v>
      </c>
      <c r="I39" s="15">
        <f t="shared" si="2"/>
        <v>7</v>
      </c>
      <c r="J39" s="10"/>
      <c r="K39" s="17" t="s">
        <v>69</v>
      </c>
      <c r="L39" s="15">
        <f>IF(L38="","",(L38-1)*100/6)</f>
        <v>68.333333333333329</v>
      </c>
      <c r="M39" s="15">
        <f>IF(M38="","",(M38-1)*100/6)</f>
        <v>75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4</v>
      </c>
      <c r="F40" s="15">
        <v>3</v>
      </c>
      <c r="G40" s="10"/>
      <c r="H40" s="15">
        <f t="shared" si="1"/>
        <v>4</v>
      </c>
      <c r="I40" s="15">
        <f t="shared" si="2"/>
        <v>5</v>
      </c>
      <c r="J40" s="10"/>
      <c r="K40" s="17" t="s">
        <v>72</v>
      </c>
      <c r="L40" s="15">
        <f>IFERROR(SUM(H38:H47),"")</f>
        <v>51</v>
      </c>
      <c r="M40" s="15">
        <f>IFERROR(SUM(H38:H47),"")</f>
        <v>51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7</v>
      </c>
      <c r="G43" s="10"/>
      <c r="H43" s="15">
        <f t="shared" si="1"/>
        <v>5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4</v>
      </c>
      <c r="G44" s="10"/>
      <c r="H44" s="15">
        <f t="shared" si="1"/>
        <v>3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2</v>
      </c>
      <c r="F45" s="15">
        <v>3</v>
      </c>
      <c r="G45" s="10"/>
      <c r="H45" s="15">
        <f t="shared" si="1"/>
        <v>6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7</v>
      </c>
      <c r="F46" s="15">
        <v>6</v>
      </c>
      <c r="G46" s="10"/>
      <c r="H46" s="15">
        <f t="shared" si="1"/>
        <v>7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88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 t="s">
        <v>89</v>
      </c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5.666666666666667</v>
      </c>
      <c r="M55" s="15">
        <f>IFERROR(AVERAGEIF(I55:I60,"&lt;&gt;"),"")</f>
        <v>5.4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4</v>
      </c>
      <c r="G56" s="10"/>
      <c r="H56" s="15">
        <f t="shared" si="3"/>
        <v>6</v>
      </c>
      <c r="I56" s="15">
        <f t="shared" ref="I56:I59" si="4">IF(F56="","",IF(D56="Sì", 8-F56, F56))</f>
        <v>4</v>
      </c>
      <c r="J56" s="10"/>
      <c r="K56" s="17" t="s">
        <v>69</v>
      </c>
      <c r="L56" s="15">
        <f>IF(L55="","",(L55-1)*100/6)</f>
        <v>77.777777777777786</v>
      </c>
      <c r="M56" s="15">
        <f>IF(M55="","",(M55-1)*100/6)</f>
        <v>73.333333333333343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5</v>
      </c>
      <c r="G57" s="10"/>
      <c r="H57" s="15">
        <f t="shared" si="3"/>
        <v>6</v>
      </c>
      <c r="I57" s="15">
        <f t="shared" si="4"/>
        <v>5</v>
      </c>
      <c r="J57" s="10"/>
      <c r="K57" s="17" t="s">
        <v>72</v>
      </c>
      <c r="L57" s="15">
        <f>IFERROR(SUM(H55:H60),"")</f>
        <v>34</v>
      </c>
      <c r="M57" s="15">
        <f>IFERROR(SUM(I55:I60),"")</f>
        <v>27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2</v>
      </c>
      <c r="F58" s="15">
        <v>4</v>
      </c>
      <c r="G58" s="10"/>
      <c r="H58" s="15">
        <f t="shared" si="3"/>
        <v>6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2</v>
      </c>
      <c r="F60" s="15"/>
      <c r="G60" s="10"/>
      <c r="H60" s="15">
        <f t="shared" si="3"/>
        <v>2</v>
      </c>
      <c r="I60" s="15" t="str">
        <f>IF(F60="","",IF(D60="Sì", 8-F60, F60))</f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x14ac:dyDescent="0.3">
      <c r="B68" s="15" t="s">
        <v>104</v>
      </c>
      <c r="C68" s="16" t="s">
        <v>105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5</v>
      </c>
      <c r="M68" s="15">
        <f>IFERROR(AVERAGEIF(I68:I70,"&lt;&gt;"),"")</f>
        <v>5.333333333333333</v>
      </c>
    </row>
    <row r="69" spans="2:13" ht="25.8" customHeight="1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4</v>
      </c>
      <c r="G69" s="10"/>
      <c r="H69" s="15">
        <f>IF(E69="","",IF(D69="Sì", 8-E69, E69))</f>
        <v>4</v>
      </c>
      <c r="I69" s="15">
        <f t="shared" ref="I69:I70" si="5">IF(F69="","",IF(D69="Sì", 8-F69, F69))</f>
        <v>4</v>
      </c>
      <c r="J69" s="10"/>
      <c r="K69" s="17" t="s">
        <v>69</v>
      </c>
      <c r="L69" s="15">
        <f>IF(L68="","",(L68-1)*100/6)</f>
        <v>66.666666666666671</v>
      </c>
      <c r="M69" s="15">
        <f>IF(M68="","",(M68-1)*100/6)</f>
        <v>72.222222222222214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2</v>
      </c>
      <c r="G70" s="10"/>
      <c r="H70" s="15">
        <f>IF(E70="","",IF(D70="Sì", 8-E70, E70))</f>
        <v>6</v>
      </c>
      <c r="I70" s="15">
        <f t="shared" si="5"/>
        <v>6</v>
      </c>
      <c r="J70" s="10"/>
      <c r="K70" s="17" t="s">
        <v>72</v>
      </c>
      <c r="L70" s="15">
        <f>IFERROR(SUM(H68:H70),"")</f>
        <v>15</v>
      </c>
      <c r="M70" s="15">
        <f>IFERROR(SUM(I68:I70),"")</f>
        <v>16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ht="43.2" customHeight="1" x14ac:dyDescent="0.3">
      <c r="B78" s="15" t="s">
        <v>111</v>
      </c>
      <c r="C78" s="16" t="s">
        <v>112</v>
      </c>
      <c r="D78" s="15" t="s">
        <v>31</v>
      </c>
      <c r="E78" s="15">
        <v>2</v>
      </c>
      <c r="F78" s="15">
        <v>5</v>
      </c>
      <c r="G78" s="10"/>
      <c r="H78" s="15">
        <f t="shared" ref="H78:H83" si="6">IF(E78="","",IF(D78="Sì", 8-E78, E78))</f>
        <v>2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3.6666666666666665</v>
      </c>
      <c r="M78" s="15">
        <f>IFERROR(AVERAGEIF(I78:I83,"&lt;&gt;"),"")</f>
        <v>3.8333333333333335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2</v>
      </c>
      <c r="G79" s="10"/>
      <c r="H79" s="15">
        <f t="shared" si="6"/>
        <v>2</v>
      </c>
      <c r="I79" s="15">
        <f t="shared" ref="I79:I83" si="7">IF(F79="","",IF(D79="Sì", 8-F79, F79))</f>
        <v>2</v>
      </c>
      <c r="J79" s="10"/>
      <c r="K79" s="17" t="s">
        <v>69</v>
      </c>
      <c r="L79" s="15">
        <f>IF(L78="","",(L78-1)*100/6)</f>
        <v>44.444444444444436</v>
      </c>
      <c r="M79" s="15">
        <f>IF(M78="","",(M78-1)*100/6)</f>
        <v>47.222222222222229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6</v>
      </c>
      <c r="F80" s="15">
        <v>5</v>
      </c>
      <c r="G80" s="10"/>
      <c r="H80" s="15">
        <f t="shared" si="6"/>
        <v>6</v>
      </c>
      <c r="I80" s="15">
        <f t="shared" si="7"/>
        <v>5</v>
      </c>
      <c r="J80" s="10"/>
      <c r="K80" s="17" t="s">
        <v>72</v>
      </c>
      <c r="L80" s="15">
        <f>IFERROR(SUM(H78:H83),"")</f>
        <v>22</v>
      </c>
      <c r="M80" s="15">
        <f>IFERROR(SUM(I78:I83),"")</f>
        <v>23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5</v>
      </c>
      <c r="F81" s="15">
        <v>5</v>
      </c>
      <c r="G81" s="10"/>
      <c r="H81" s="15">
        <f t="shared" si="6"/>
        <v>5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5</v>
      </c>
      <c r="F82" s="15">
        <v>3</v>
      </c>
      <c r="G82" s="10"/>
      <c r="H82" s="15">
        <f t="shared" si="6"/>
        <v>5</v>
      </c>
      <c r="I82" s="15">
        <f t="shared" si="7"/>
        <v>3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5</v>
      </c>
      <c r="G83" s="10"/>
      <c r="H83" s="15">
        <f t="shared" si="6"/>
        <v>2</v>
      </c>
      <c r="I83" s="15">
        <f t="shared" si="7"/>
        <v>3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6</v>
      </c>
      <c r="F91" s="15">
        <v>5</v>
      </c>
      <c r="G91" s="10"/>
      <c r="H91" s="15">
        <f>IF(E91="","",IF(D91="Sì", 8-E91, E91))</f>
        <v>6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6</v>
      </c>
      <c r="M91" s="15">
        <f>IFERROR(AVERAGEIF(I91:I95,"&lt;&gt;"),"")</f>
        <v>4.5999999999999996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3</v>
      </c>
      <c r="F92" s="15">
        <v>5</v>
      </c>
      <c r="G92" s="10"/>
      <c r="H92" s="15">
        <f>IF(E92="","",IF(D92="Sì", 8-E92, E92))</f>
        <v>5</v>
      </c>
      <c r="I92" s="15">
        <f t="shared" ref="I92:I95" si="8">IF(F92="","",IF(D92="Sì", 8-F92, F92))</f>
        <v>3</v>
      </c>
      <c r="J92" s="10"/>
      <c r="K92" s="17" t="s">
        <v>69</v>
      </c>
      <c r="L92" s="15">
        <f>IF(L91="","",(L91-1)*100/6)</f>
        <v>83.333333333333329</v>
      </c>
      <c r="M92" s="15">
        <f>IF(M91="","",(M91-1)*100/6)</f>
        <v>59.999999999999993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2</v>
      </c>
      <c r="G93" s="10"/>
      <c r="H93" s="15">
        <f>IF(E93="","",IF(D93="Sì", 8-E93, E93))</f>
        <v>7</v>
      </c>
      <c r="I93" s="15">
        <f t="shared" si="8"/>
        <v>6</v>
      </c>
      <c r="J93" s="10"/>
      <c r="K93" s="17" t="s">
        <v>72</v>
      </c>
      <c r="L93" s="15">
        <f>IFERROR(SUM(H91:H95),"")</f>
        <v>30</v>
      </c>
      <c r="M93" s="15">
        <f>IFERROR(SUM(I91:I95),"")</f>
        <v>23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6</v>
      </c>
      <c r="F94" s="15">
        <v>3</v>
      </c>
      <c r="G94" s="10"/>
      <c r="H94" s="15">
        <f>IF(E94="","",IF(D94="Sì", 8-E94, E94))</f>
        <v>6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2</v>
      </c>
      <c r="G95" s="10"/>
      <c r="H95" s="15">
        <f>IF(E95="","",IF(D95="Sì", 8-E95, E95))</f>
        <v>6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6</v>
      </c>
      <c r="F104" s="15"/>
      <c r="G104" s="10"/>
      <c r="H104" s="15">
        <f>IF(E104="","",IF(D104="Sì", 8-E104, E104))</f>
        <v>6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66.666666666666671</v>
      </c>
      <c r="M104" s="15">
        <f>IF(M103="","",(M103-1)*100/6)</f>
        <v>33.333333333333336</v>
      </c>
    </row>
    <row r="105" spans="2:13" ht="25.8" customHeight="1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25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3</v>
      </c>
      <c r="F106" s="15"/>
      <c r="G106" s="10"/>
      <c r="H106" s="15">
        <f>IF(E106="","",IF(D106="Sì", 8-E106, E106))</f>
        <v>3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3</v>
      </c>
      <c r="G107" s="10"/>
      <c r="H107" s="15">
        <f>IF(E107="","",IF(D107="Sì", 8-E107, E107))</f>
        <v>3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3</v>
      </c>
      <c r="F115" s="15">
        <v>3</v>
      </c>
      <c r="G115" s="10"/>
      <c r="H115" s="15">
        <f>IF(E115="","",IF(D115="Sì", 8-E115, E115))</f>
        <v>5</v>
      </c>
      <c r="I115" s="15">
        <f>IF(F115="","",IF(D115="Sì", 8-F115, F115))</f>
        <v>5</v>
      </c>
      <c r="J115" s="10"/>
      <c r="K115" s="17" t="s">
        <v>66</v>
      </c>
      <c r="L115" s="15">
        <f>IFERROR(AVERAGEIF(H115:H118,"&lt;&gt;"),"")</f>
        <v>5.5</v>
      </c>
      <c r="M115" s="15">
        <f>IFERROR(AVERAGEIF(I115:I118,"&lt;&gt;"),"")</f>
        <v>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4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4</v>
      </c>
      <c r="J116" s="10"/>
      <c r="K116" s="17" t="s">
        <v>69</v>
      </c>
      <c r="L116" s="15">
        <f>IF(L115="","",(L115-1)*100/6)</f>
        <v>75</v>
      </c>
      <c r="M116" s="15">
        <f>IF(M115="","",(M115-1)*100/6)</f>
        <v>66.666666666666671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4</v>
      </c>
      <c r="F117" s="15">
        <v>4</v>
      </c>
      <c r="G117" s="10"/>
      <c r="H117" s="15">
        <f>IF(E117="","",IF(D117="Sì", 8-E117, E117))</f>
        <v>4</v>
      </c>
      <c r="I117" s="15">
        <f t="shared" si="10"/>
        <v>4</v>
      </c>
      <c r="J117" s="10"/>
      <c r="K117" s="17" t="s">
        <v>72</v>
      </c>
      <c r="L117" s="15">
        <f>IFERROR(SUM(H115:H118),"")</f>
        <v>22</v>
      </c>
      <c r="M117" s="15">
        <f>IFERROR(SUM(I115:I118),"")</f>
        <v>20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72.222222222222214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16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6</v>
      </c>
      <c r="F136" s="15">
        <v>6</v>
      </c>
      <c r="G136" s="10"/>
      <c r="H136" s="15">
        <f>IF(E136="","",IF(D136="Sì", 8-E136, E136))</f>
        <v>6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4.5</v>
      </c>
      <c r="M136" s="15">
        <f>IFERROR(AVERAGEIF(I136:I137,"&lt;&gt;"),"")</f>
        <v>4.5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3</v>
      </c>
      <c r="F137" s="15">
        <v>3</v>
      </c>
      <c r="G137" s="10"/>
      <c r="H137" s="15">
        <f>IF(E137="","",IF(D137="Sì", 8-E137, E137))</f>
        <v>3</v>
      </c>
      <c r="I137" s="15">
        <f>IF(F137="","",IF(D137="Sì", 8-F137, F137))</f>
        <v>3</v>
      </c>
      <c r="J137" s="10"/>
      <c r="K137" s="17" t="s">
        <v>69</v>
      </c>
      <c r="L137" s="15">
        <f>IF(L136="","",(L136-1)*100/6)</f>
        <v>58.333333333333336</v>
      </c>
      <c r="M137" s="15">
        <f>IF(M136="","",(M136-1)*100/6)</f>
        <v>58.333333333333336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9</v>
      </c>
      <c r="M138" s="15">
        <f>IFERROR(SUM(I136:I137),"")</f>
        <v>9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4</v>
      </c>
      <c r="F158" s="15">
        <v>4</v>
      </c>
      <c r="G158" s="10"/>
      <c r="H158" s="15">
        <f t="shared" ref="H158:H167" si="13">IF(E158="","",IF(D158="Sì", 5-E158, E158-1))</f>
        <v>3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30</v>
      </c>
      <c r="M158" s="15">
        <f>IFERROR(SUM(I158:I167),"")</f>
        <v>25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2</v>
      </c>
      <c r="F159" s="15">
        <v>2</v>
      </c>
      <c r="G159" s="10"/>
      <c r="H159" s="15">
        <f t="shared" si="13"/>
        <v>3</v>
      </c>
      <c r="I159" s="15">
        <f t="shared" ref="I159:I167" si="14">IF(F159="","",IF(D159="Sì", 5-F159, F159-1))</f>
        <v>3</v>
      </c>
      <c r="J159" s="10"/>
      <c r="K159" s="17" t="s">
        <v>189</v>
      </c>
      <c r="L159" s="15">
        <f>IF(L158="","", L158*2.5 )</f>
        <v>75</v>
      </c>
      <c r="M159" s="15">
        <f>IF(M158="","", M158*2.5 )</f>
        <v>62.5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4</v>
      </c>
      <c r="F160" s="15">
        <v>2</v>
      </c>
      <c r="G160" s="10"/>
      <c r="H160" s="15">
        <f t="shared" si="13"/>
        <v>3</v>
      </c>
      <c r="I160" s="15">
        <f t="shared" si="14"/>
        <v>1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4</v>
      </c>
      <c r="G162" s="10"/>
      <c r="H162" s="15">
        <f t="shared" si="13"/>
        <v>3</v>
      </c>
      <c r="I162" s="15">
        <f t="shared" si="14"/>
        <v>3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2</v>
      </c>
      <c r="G163" s="10"/>
      <c r="H163" s="15">
        <f t="shared" si="13"/>
        <v>3</v>
      </c>
      <c r="I163" s="15">
        <f t="shared" si="14"/>
        <v>3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2</v>
      </c>
      <c r="F164" s="15">
        <v>2</v>
      </c>
      <c r="G164" s="10"/>
      <c r="H164" s="15">
        <f t="shared" si="13"/>
        <v>1</v>
      </c>
      <c r="I164" s="15">
        <f t="shared" si="14"/>
        <v>1</v>
      </c>
      <c r="J164" s="10"/>
      <c r="K164" s="10"/>
      <c r="L164" s="10"/>
      <c r="M164" s="10"/>
    </row>
    <row r="165" spans="2:13" ht="28.8" customHeight="1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4</v>
      </c>
      <c r="G165" s="10"/>
      <c r="H165" s="15">
        <f t="shared" si="13"/>
        <v>3</v>
      </c>
      <c r="I165" s="15">
        <f t="shared" si="14"/>
        <v>1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4</v>
      </c>
      <c r="F166" s="15">
        <v>4</v>
      </c>
      <c r="G166" s="10"/>
      <c r="H166" s="15">
        <f t="shared" si="13"/>
        <v>3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2</v>
      </c>
      <c r="G167" s="10"/>
      <c r="H167" s="15">
        <f t="shared" si="13"/>
        <v>4</v>
      </c>
      <c r="I167" s="15">
        <f t="shared" si="14"/>
        <v>3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 t="s">
        <v>207</v>
      </c>
      <c r="L171" s="162"/>
      <c r="M171" s="163"/>
    </row>
    <row r="172" spans="2:13" x14ac:dyDescent="0.3">
      <c r="K172" s="17" t="s">
        <v>186</v>
      </c>
      <c r="L172" s="19"/>
      <c r="M172" s="20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228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 t="s">
        <v>234</v>
      </c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19">
    <mergeCell ref="C155:G155"/>
    <mergeCell ref="K171:M171"/>
    <mergeCell ref="B121:G121"/>
    <mergeCell ref="B131:G131"/>
    <mergeCell ref="C133:G133"/>
    <mergeCell ref="B140:G140"/>
    <mergeCell ref="C142:G142"/>
    <mergeCell ref="B153:G153"/>
    <mergeCell ref="B110:G110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9C7C79AD-4778-423A-B90E-92B98F68EADD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9642554A-CAC4-4DD5-AD93-F052F9FB3206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98EAFD58-2661-4840-B171-681254ECCCD2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AB7B8C43-0DCE-46AF-BA8B-32CDCF83CEFE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FE668434-E6FD-41D0-B075-6E7A369ED9C3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8FB4B762-C52F-493B-A9C7-006C7C196FA5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881B7-DDC7-449C-BF40-E18BD4BFAEDE}">
  <dimension ref="B1:Q205"/>
  <sheetViews>
    <sheetView topLeftCell="A170" zoomScale="87" zoomScaleNormal="85" workbookViewId="0">
      <selection activeCell="K195" sqref="K195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" style="2" customWidth="1"/>
    <col min="4" max="4" width="7.21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248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22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164" t="s">
        <v>20</v>
      </c>
      <c r="D17" s="164"/>
      <c r="E17" s="164"/>
      <c r="F17" s="164"/>
      <c r="G17" s="164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3.8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5</v>
      </c>
      <c r="F20" s="5">
        <f t="shared" ref="F20:F29" si="0">IF(E20="","",IF(D20="Sì", 8-E20, E20))</f>
        <v>5</v>
      </c>
      <c r="G20" s="5"/>
      <c r="H20" s="3"/>
      <c r="I20" s="9" t="s">
        <v>32</v>
      </c>
      <c r="J20" s="5">
        <f>IF(J19="","",( J19-1 )*100/6)</f>
        <v>46.666666666666664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38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5</v>
      </c>
      <c r="F22" s="5">
        <f t="shared" si="0"/>
        <v>5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6</v>
      </c>
      <c r="F23" s="5">
        <f t="shared" si="0"/>
        <v>6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3</v>
      </c>
      <c r="F24" s="5">
        <f t="shared" si="0"/>
        <v>3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3</v>
      </c>
      <c r="F26" s="5">
        <f t="shared" si="0"/>
        <v>3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5</v>
      </c>
      <c r="F27" s="5">
        <f t="shared" si="0"/>
        <v>5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2</v>
      </c>
      <c r="F28" s="5">
        <f t="shared" si="0"/>
        <v>2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5</v>
      </c>
      <c r="F29" s="5">
        <f t="shared" si="0"/>
        <v>3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4.5</v>
      </c>
      <c r="M38" s="15">
        <f>IFERROR(AVERAGEIF(I38:I47,"&lt;&gt;"),"")</f>
        <v>5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5</v>
      </c>
      <c r="G39" s="10"/>
      <c r="H39" s="15">
        <f t="shared" si="1"/>
        <v>5</v>
      </c>
      <c r="I39" s="15">
        <f t="shared" si="2"/>
        <v>5</v>
      </c>
      <c r="J39" s="10"/>
      <c r="K39" s="17" t="s">
        <v>69</v>
      </c>
      <c r="L39" s="15">
        <f>IF(L38="","",(L38-1)*100/6)</f>
        <v>58.333333333333336</v>
      </c>
      <c r="M39" s="15">
        <f>IF(M38="","",(M38-1)*100/6)</f>
        <v>66.666666666666671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6</v>
      </c>
      <c r="F40" s="15">
        <v>4</v>
      </c>
      <c r="G40" s="10"/>
      <c r="H40" s="15">
        <f t="shared" si="1"/>
        <v>2</v>
      </c>
      <c r="I40" s="15">
        <f t="shared" si="2"/>
        <v>4</v>
      </c>
      <c r="J40" s="10"/>
      <c r="K40" s="17" t="s">
        <v>72</v>
      </c>
      <c r="L40" s="15">
        <f>IFERROR(SUM(H38:H47),"")</f>
        <v>45</v>
      </c>
      <c r="M40" s="15">
        <f>IFERROR(SUM(H38:H47),"")</f>
        <v>45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5</v>
      </c>
      <c r="F41" s="15">
        <v>6</v>
      </c>
      <c r="G41" s="10"/>
      <c r="H41" s="15">
        <f t="shared" si="1"/>
        <v>5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7</v>
      </c>
      <c r="G42" s="10"/>
      <c r="H42" s="15">
        <f t="shared" si="1"/>
        <v>5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5</v>
      </c>
      <c r="G43" s="10"/>
      <c r="H43" s="15">
        <f t="shared" si="1"/>
        <v>5</v>
      </c>
      <c r="I43" s="15">
        <f t="shared" si="2"/>
        <v>5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2</v>
      </c>
      <c r="F44" s="15">
        <v>3</v>
      </c>
      <c r="G44" s="10"/>
      <c r="H44" s="15">
        <f t="shared" si="1"/>
        <v>2</v>
      </c>
      <c r="I44" s="15">
        <f t="shared" si="2"/>
        <v>3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40.799999999999997" customHeight="1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5</v>
      </c>
      <c r="G46" s="10"/>
      <c r="H46" s="15">
        <f t="shared" si="1"/>
        <v>6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249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6</v>
      </c>
      <c r="G55" s="10"/>
      <c r="H55" s="15">
        <f t="shared" ref="H55:H60" si="3">IF(E55="","",IF(D55="Sì", 8-E55, E55))</f>
        <v>7</v>
      </c>
      <c r="I55" s="15">
        <f>IF(F55="","",IF(D55="Sì", 8-F55, F55))</f>
        <v>6</v>
      </c>
      <c r="J55" s="10"/>
      <c r="K55" s="17" t="s">
        <v>66</v>
      </c>
      <c r="L55" s="15">
        <f>IFERROR(AVERAGEIF(H55:H60,"&lt;&gt;"),"")</f>
        <v>6</v>
      </c>
      <c r="M55" s="15">
        <f>IFERROR(AVERAGEIF(I55:I60,"&lt;&gt;"),"")</f>
        <v>5.6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6</v>
      </c>
      <c r="G56" s="10"/>
      <c r="H56" s="15">
        <f t="shared" si="3"/>
        <v>6</v>
      </c>
      <c r="I56" s="15">
        <f t="shared" ref="I56:I60" si="4">IF(F56="","",IF(D56="Sì", 8-F56, F56))</f>
        <v>6</v>
      </c>
      <c r="J56" s="10"/>
      <c r="K56" s="17" t="s">
        <v>69</v>
      </c>
      <c r="L56" s="15">
        <f>IF(L55="","",(L55-1)*100/6)</f>
        <v>83.333333333333329</v>
      </c>
      <c r="M56" s="15">
        <f>IF(M55="","",(M55-1)*100/6)</f>
        <v>76.666666666666657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5</v>
      </c>
      <c r="G57" s="10"/>
      <c r="H57" s="15">
        <f t="shared" si="3"/>
        <v>6</v>
      </c>
      <c r="I57" s="15">
        <f t="shared" si="4"/>
        <v>5</v>
      </c>
      <c r="J57" s="10"/>
      <c r="K57" s="17" t="s">
        <v>72</v>
      </c>
      <c r="L57" s="15">
        <f>IFERROR(SUM(H55:H60),"")</f>
        <v>36</v>
      </c>
      <c r="M57" s="15">
        <f>IFERROR(SUM(I55:I60),"")</f>
        <v>28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3</v>
      </c>
      <c r="G58" s="10"/>
      <c r="H58" s="15">
        <f t="shared" si="3"/>
        <v>5</v>
      </c>
      <c r="I58" s="15">
        <f t="shared" si="4"/>
        <v>5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6</v>
      </c>
      <c r="G59" s="10"/>
      <c r="H59" s="15">
        <f t="shared" si="3"/>
        <v>6</v>
      </c>
      <c r="I59" s="15">
        <f t="shared" si="4"/>
        <v>6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245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5.333333333333333</v>
      </c>
      <c r="M68" s="15">
        <f>IFERROR(AVERAGEIF(I68:I70,"&lt;&gt;"),"")</f>
        <v>5.666666666666667</v>
      </c>
    </row>
    <row r="69" spans="2:13" ht="31.2" customHeight="1" x14ac:dyDescent="0.3">
      <c r="B69" s="15" t="s">
        <v>106</v>
      </c>
      <c r="C69" s="16" t="s">
        <v>107</v>
      </c>
      <c r="D69" s="15" t="s">
        <v>31</v>
      </c>
      <c r="E69" s="15">
        <v>5</v>
      </c>
      <c r="F69" s="15">
        <v>5</v>
      </c>
      <c r="G69" s="10"/>
      <c r="H69" s="15">
        <f>IF(E69="","",IF(D69="Sì", 8-E69, E69))</f>
        <v>5</v>
      </c>
      <c r="I69" s="15">
        <f t="shared" ref="I69:I70" si="5">IF(F69="","",IF(D69="Sì", 8-F69, F69))</f>
        <v>5</v>
      </c>
      <c r="J69" s="10"/>
      <c r="K69" s="17" t="s">
        <v>69</v>
      </c>
      <c r="L69" s="15">
        <f>IF(L68="","",(L68-1)*100/6)</f>
        <v>72.222222222222214</v>
      </c>
      <c r="M69" s="15">
        <f>IF(M68="","",(M68-1)*100/6)</f>
        <v>77.777777777777786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2</v>
      </c>
      <c r="G70" s="10"/>
      <c r="H70" s="15">
        <f>IF(E70="","",IF(D70="Sì", 8-E70, E70))</f>
        <v>6</v>
      </c>
      <c r="I70" s="15">
        <f t="shared" si="5"/>
        <v>6</v>
      </c>
      <c r="J70" s="10"/>
      <c r="K70" s="17" t="s">
        <v>72</v>
      </c>
      <c r="L70" s="15">
        <f>IFERROR(SUM(H68:H70),"")</f>
        <v>16</v>
      </c>
      <c r="M70" s="15">
        <f>IFERROR(SUM(I68:I70),"")</f>
        <v>17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ht="27" customHeight="1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5</v>
      </c>
      <c r="G78" s="10"/>
      <c r="H78" s="15">
        <f t="shared" ref="H78:H83" si="6">IF(E78="","",IF(D78="Sì", 8-E78, E78))</f>
        <v>3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3.1666666666666665</v>
      </c>
      <c r="M78" s="15">
        <f>IFERROR(AVERAGEIF(I78:I83,"&lt;&gt;"),"")</f>
        <v>3.6666666666666665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3</v>
      </c>
      <c r="F79" s="15">
        <v>3</v>
      </c>
      <c r="G79" s="10"/>
      <c r="H79" s="15">
        <f t="shared" si="6"/>
        <v>3</v>
      </c>
      <c r="I79" s="15">
        <f t="shared" ref="I79:I83" si="7">IF(F79="","",IF(D79="Sì", 8-F79, F79))</f>
        <v>3</v>
      </c>
      <c r="J79" s="10"/>
      <c r="K79" s="17" t="s">
        <v>69</v>
      </c>
      <c r="L79" s="15">
        <f>IF(L78="","",(L78-1)*100/6)</f>
        <v>36.111111111111107</v>
      </c>
      <c r="M79" s="15">
        <f>IF(M78="","",(M78-1)*100/6)</f>
        <v>44.444444444444436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5</v>
      </c>
      <c r="F80" s="15">
        <v>6</v>
      </c>
      <c r="G80" s="10"/>
      <c r="H80" s="15">
        <f t="shared" si="6"/>
        <v>5</v>
      </c>
      <c r="I80" s="15">
        <f t="shared" si="7"/>
        <v>6</v>
      </c>
      <c r="J80" s="10"/>
      <c r="K80" s="17" t="s">
        <v>72</v>
      </c>
      <c r="L80" s="15">
        <f>IFERROR(SUM(H78:H83),"")</f>
        <v>19</v>
      </c>
      <c r="M80" s="15">
        <f>IFERROR(SUM(I78:I83),"")</f>
        <v>22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3</v>
      </c>
      <c r="F81" s="15">
        <v>3</v>
      </c>
      <c r="G81" s="10"/>
      <c r="H81" s="15">
        <f t="shared" si="6"/>
        <v>3</v>
      </c>
      <c r="I81" s="15">
        <f t="shared" si="7"/>
        <v>3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2</v>
      </c>
      <c r="F82" s="15">
        <v>2</v>
      </c>
      <c r="G82" s="10"/>
      <c r="H82" s="15">
        <f t="shared" si="6"/>
        <v>2</v>
      </c>
      <c r="I82" s="15">
        <f t="shared" si="7"/>
        <v>2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5</v>
      </c>
      <c r="F83" s="15">
        <v>5</v>
      </c>
      <c r="G83" s="10"/>
      <c r="H83" s="15">
        <f t="shared" si="6"/>
        <v>3</v>
      </c>
      <c r="I83" s="15">
        <f t="shared" si="7"/>
        <v>3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6</v>
      </c>
      <c r="F91" s="15">
        <v>2</v>
      </c>
      <c r="G91" s="10"/>
      <c r="H91" s="15">
        <f>IF(E91="","",IF(D91="Sì", 8-E91, E91))</f>
        <v>6</v>
      </c>
      <c r="I91" s="15">
        <f>IF(F91="","",IF(D91="Sì", 8-F91, F91))</f>
        <v>2</v>
      </c>
      <c r="J91" s="10"/>
      <c r="K91" s="17" t="s">
        <v>66</v>
      </c>
      <c r="L91" s="15">
        <f>IFERROR(AVERAGEIF(H91:H95,"&lt;&gt;"),"")</f>
        <v>4.8</v>
      </c>
      <c r="M91" s="15">
        <f>IFERROR(AVERAGEIF(I91:I95,"&lt;&gt;"),"")</f>
        <v>3.6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5</v>
      </c>
      <c r="F92" s="15">
        <v>6</v>
      </c>
      <c r="G92" s="10"/>
      <c r="H92" s="15">
        <f>IF(E92="","",IF(D92="Sì", 8-E92, E92))</f>
        <v>3</v>
      </c>
      <c r="I92" s="15">
        <f t="shared" ref="I92:I95" si="8">IF(F92="","",IF(D92="Sì", 8-F92, F92))</f>
        <v>2</v>
      </c>
      <c r="J92" s="10"/>
      <c r="K92" s="17" t="s">
        <v>69</v>
      </c>
      <c r="L92" s="15">
        <f>IF(L91="","",(L91-1)*100/6)</f>
        <v>63.333333333333336</v>
      </c>
      <c r="M92" s="15">
        <f>IF(M91="","",(M91-1)*100/6)</f>
        <v>43.333333333333336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3</v>
      </c>
      <c r="G93" s="10"/>
      <c r="H93" s="15">
        <f>IF(E93="","",IF(D93="Sì", 8-E93, E93))</f>
        <v>6</v>
      </c>
      <c r="I93" s="15">
        <f t="shared" si="8"/>
        <v>5</v>
      </c>
      <c r="J93" s="10"/>
      <c r="K93" s="17" t="s">
        <v>72</v>
      </c>
      <c r="L93" s="15">
        <f>IFERROR(SUM(H91:H95),"")</f>
        <v>24</v>
      </c>
      <c r="M93" s="15">
        <f>IFERROR(SUM(I91:I95),"")</f>
        <v>18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3</v>
      </c>
      <c r="F94" s="15">
        <v>3</v>
      </c>
      <c r="G94" s="10"/>
      <c r="H94" s="15">
        <f>IF(E94="","",IF(D94="Sì", 8-E94, E94))</f>
        <v>3</v>
      </c>
      <c r="I94" s="15">
        <f t="shared" si="8"/>
        <v>3</v>
      </c>
      <c r="J94" s="10"/>
      <c r="K94" s="10"/>
      <c r="L94" s="10"/>
      <c r="M94" s="10"/>
    </row>
    <row r="95" spans="2:13" ht="45.6" customHeight="1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2</v>
      </c>
      <c r="G95" s="10"/>
      <c r="H95" s="15">
        <f>IF(E95="","",IF(D95="Sì", 8-E95, E95))</f>
        <v>6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5.8</v>
      </c>
      <c r="M103" s="15">
        <f>IFERROR(AVERAGEIF(I103:I107,"&lt;&gt;"),"")</f>
        <v>5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80</v>
      </c>
      <c r="M104" s="15">
        <f>IF(M103="","",(M103-1)*100/6)</f>
        <v>66.666666666666671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2</v>
      </c>
      <c r="F105" s="15"/>
      <c r="G105" s="10"/>
      <c r="H105" s="15">
        <f>IF(E105="","",IF(D105="Sì", 8-E105, E105))</f>
        <v>6</v>
      </c>
      <c r="I105" s="15" t="str">
        <f t="shared" si="9"/>
        <v/>
      </c>
      <c r="J105" s="10"/>
      <c r="K105" s="17" t="s">
        <v>72</v>
      </c>
      <c r="L105" s="15">
        <f>IFERROR(SUM(H103:H107),"")</f>
        <v>29</v>
      </c>
      <c r="M105" s="15">
        <f>IFERROR(SUM(I103:I107),"")</f>
        <v>5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6</v>
      </c>
      <c r="F107" s="15">
        <v>5</v>
      </c>
      <c r="G107" s="10"/>
      <c r="H107" s="15">
        <f>IF(E107="","",IF(D107="Sì", 8-E107, E107))</f>
        <v>6</v>
      </c>
      <c r="I107" s="15">
        <f>IF(F107="","",IF(D107="Sì", 8-F107, F107))</f>
        <v>5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 t="s">
        <v>250</v>
      </c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2</v>
      </c>
      <c r="F115" s="15">
        <v>2</v>
      </c>
      <c r="G115" s="10"/>
      <c r="H115" s="15">
        <f>IF(E115="","",IF(D115="Sì", 8-E115, E115))</f>
        <v>6</v>
      </c>
      <c r="I115" s="15">
        <f>IF(F115="","",IF(D115="Sì", 8-F115, F115))</f>
        <v>6</v>
      </c>
      <c r="J115" s="10"/>
      <c r="K115" s="17" t="s">
        <v>66</v>
      </c>
      <c r="L115" s="15">
        <f>IFERROR(AVERAGEIF(H115:H118,"&lt;&gt;"),"")</f>
        <v>6.25</v>
      </c>
      <c r="M115" s="15">
        <f>IFERROR(AVERAGEIF(I115:I118,"&lt;&gt;"),"")</f>
        <v>5.25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2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2</v>
      </c>
      <c r="J116" s="10"/>
      <c r="K116" s="17" t="s">
        <v>69</v>
      </c>
      <c r="L116" s="15">
        <f>IF(L115="","",(L115-1)*100/6)</f>
        <v>87.5</v>
      </c>
      <c r="M116" s="15">
        <f>IF(M115="","",(M115-1)*100/6)</f>
        <v>70.833333333333329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25</v>
      </c>
      <c r="M117" s="15">
        <f>IFERROR(SUM(I115:I118),"")</f>
        <v>21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6</v>
      </c>
      <c r="G118" s="10"/>
      <c r="H118" s="15">
        <f>IF(E118="","",IF(D118="Sì", 8-E118, E118))</f>
        <v>7</v>
      </c>
      <c r="I118" s="15">
        <f>IF(F118="","",IF(D118="Sì", 8-F118, F118))</f>
        <v>6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 t="s">
        <v>251</v>
      </c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3</v>
      </c>
      <c r="F127" s="15"/>
      <c r="G127" s="10"/>
      <c r="H127" s="15">
        <f>IF(E127="","",IF(D127="Sì", 8-E127, E127))</f>
        <v>5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55.55555555555555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13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4</v>
      </c>
      <c r="F136" s="15">
        <v>3</v>
      </c>
      <c r="G136" s="10"/>
      <c r="H136" s="15">
        <f>IF(E136="","",IF(D136="Sì", 8-E136, E136))</f>
        <v>4</v>
      </c>
      <c r="I136" s="15">
        <f>IF(F136="","",IF(D136="Sì", 8-F136, F136))</f>
        <v>3</v>
      </c>
      <c r="J136" s="10"/>
      <c r="K136" s="17" t="s">
        <v>66</v>
      </c>
      <c r="L136" s="15">
        <f>IFERROR(AVERAGEIF(H136:H137,"&lt;&gt;"),"")</f>
        <v>3</v>
      </c>
      <c r="M136" s="15">
        <f>IFERROR(AVERAGEIF(I136:I137,"&lt;&gt;"),"")</f>
        <v>2.5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2</v>
      </c>
      <c r="F137" s="15">
        <v>2</v>
      </c>
      <c r="G137" s="10"/>
      <c r="H137" s="15">
        <f>IF(E137="","",IF(D137="Sì", 8-E137, E137))</f>
        <v>2</v>
      </c>
      <c r="I137" s="15">
        <f>IF(F137="","",IF(D137="Sì", 8-F137, F137))</f>
        <v>2</v>
      </c>
      <c r="J137" s="10"/>
      <c r="K137" s="17" t="s">
        <v>69</v>
      </c>
      <c r="L137" s="15">
        <f>IF(L136="","",(L136-1)*100/6)</f>
        <v>33.333333333333336</v>
      </c>
      <c r="M137" s="15">
        <f>IF(M136="","",(M136-1)*100/6)</f>
        <v>25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6</v>
      </c>
      <c r="M138" s="15">
        <f>IFERROR(SUM(I136:I137),"")</f>
        <v>5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0.5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16.666666666666668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1</v>
      </c>
      <c r="G147" s="10"/>
      <c r="H147" s="15">
        <f>IF(E147="","",E147)</f>
        <v>0</v>
      </c>
      <c r="I147" s="15">
        <f t="shared" si="12"/>
        <v>1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2</v>
      </c>
      <c r="G149" s="10"/>
      <c r="H149" s="15">
        <f>IF(E149="","",E149)</f>
        <v>0</v>
      </c>
      <c r="I149" s="15">
        <f t="shared" si="12"/>
        <v>2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4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34</v>
      </c>
      <c r="M158" s="15">
        <f>IFERROR(SUM(I158:I167),"")</f>
        <v>32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2</v>
      </c>
      <c r="F159" s="15">
        <v>1</v>
      </c>
      <c r="G159" s="10"/>
      <c r="H159" s="15">
        <f t="shared" si="13"/>
        <v>3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85</v>
      </c>
      <c r="M159" s="15">
        <f>IF(M158="","", M158*2.5 )</f>
        <v>80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4</v>
      </c>
      <c r="F160" s="15">
        <v>4</v>
      </c>
      <c r="G160" s="10"/>
      <c r="H160" s="15">
        <f t="shared" si="13"/>
        <v>3</v>
      </c>
      <c r="I160" s="15">
        <f t="shared" si="14"/>
        <v>3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ht="25.2" customHeight="1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3</v>
      </c>
      <c r="F164" s="15">
        <v>2</v>
      </c>
      <c r="G164" s="10"/>
      <c r="H164" s="15">
        <f t="shared" si="13"/>
        <v>2</v>
      </c>
      <c r="I164" s="15">
        <f t="shared" si="14"/>
        <v>1</v>
      </c>
      <c r="J164" s="10"/>
      <c r="K164" s="10"/>
      <c r="L164" s="10"/>
      <c r="M164" s="10"/>
    </row>
    <row r="165" spans="2:13" ht="39" customHeight="1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3</v>
      </c>
      <c r="G165" s="10"/>
      <c r="H165" s="15">
        <f t="shared" si="13"/>
        <v>4</v>
      </c>
      <c r="I165" s="15">
        <f t="shared" si="14"/>
        <v>2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4</v>
      </c>
      <c r="F166" s="15">
        <v>4</v>
      </c>
      <c r="G166" s="10"/>
      <c r="H166" s="15">
        <f t="shared" si="13"/>
        <v>3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228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1">
    <mergeCell ref="C155:G155"/>
    <mergeCell ref="K171:M171"/>
    <mergeCell ref="L172:M172"/>
    <mergeCell ref="B121:G121"/>
    <mergeCell ref="B131:G131"/>
    <mergeCell ref="C133:G133"/>
    <mergeCell ref="B140:G140"/>
    <mergeCell ref="C142:G142"/>
    <mergeCell ref="B153:G153"/>
    <mergeCell ref="B110:G110"/>
    <mergeCell ref="B1:G1"/>
    <mergeCell ref="B2:C2"/>
    <mergeCell ref="B15:G15"/>
    <mergeCell ref="C17:G17"/>
    <mergeCell ref="B31:G31"/>
    <mergeCell ref="B33:G33"/>
    <mergeCell ref="B50:G50"/>
    <mergeCell ref="B63:G63"/>
    <mergeCell ref="B73:G73"/>
    <mergeCell ref="B86:G86"/>
    <mergeCell ref="B98:G98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FC1E96E6-1BE8-4FF0-B5AF-48AB5BD9F798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AC9F64D-CBA6-42C2-8EC5-46E0EC37BDF2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0D962186-F96E-4D75-A73F-0C2CF34A636C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FE0F1BE8-1BD9-470E-A4EB-BCAC26DC117B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C3C25618-F8A4-4E3E-9B5A-455C13323D96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DD93EDC9-42D9-41F0-BDEC-FD2275AC3EBF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9A4B-D003-4C4C-8207-B2E9A628EFE5}">
  <dimension ref="B1:Q205"/>
  <sheetViews>
    <sheetView topLeftCell="A178" zoomScale="93" zoomScaleNormal="40" workbookViewId="0">
      <selection activeCell="C40" sqref="C40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" style="2" customWidth="1"/>
    <col min="4" max="4" width="7.21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241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26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164" t="s">
        <v>20</v>
      </c>
      <c r="D17" s="164"/>
      <c r="E17" s="164"/>
      <c r="F17" s="164"/>
      <c r="G17" s="164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4.5999999999999996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5</v>
      </c>
      <c r="F20" s="5">
        <f t="shared" ref="F20:F29" si="0">IF(E20="","",IF(D20="Sì", 8-E20, E20))</f>
        <v>5</v>
      </c>
      <c r="G20" s="5"/>
      <c r="H20" s="3"/>
      <c r="I20" s="9" t="s">
        <v>32</v>
      </c>
      <c r="J20" s="5">
        <f>IF(J19="","",( J19-1 )*100/6)</f>
        <v>59.999999999999993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6</v>
      </c>
      <c r="F21" s="5">
        <f t="shared" si="0"/>
        <v>6</v>
      </c>
      <c r="G21" s="5"/>
      <c r="H21" s="3"/>
      <c r="I21" s="9" t="s">
        <v>35</v>
      </c>
      <c r="J21" s="5">
        <f>IFERROR(SUM(F20:F29),"")</f>
        <v>46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5</v>
      </c>
      <c r="F22" s="5">
        <f t="shared" si="0"/>
        <v>5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4</v>
      </c>
      <c r="F23" s="5">
        <f t="shared" si="0"/>
        <v>4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5</v>
      </c>
      <c r="F24" s="5">
        <f t="shared" si="0"/>
        <v>5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6</v>
      </c>
      <c r="F25" s="5">
        <f t="shared" si="0"/>
        <v>6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4</v>
      </c>
      <c r="F26" s="5">
        <f t="shared" si="0"/>
        <v>4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2</v>
      </c>
      <c r="F27" s="5">
        <f t="shared" si="0"/>
        <v>2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4</v>
      </c>
      <c r="F28" s="5">
        <f t="shared" si="0"/>
        <v>4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3</v>
      </c>
      <c r="F29" s="5">
        <f t="shared" si="0"/>
        <v>5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4</v>
      </c>
      <c r="F38" s="15">
        <v>5</v>
      </c>
      <c r="G38" s="10"/>
      <c r="H38" s="15">
        <f t="shared" ref="H38:H47" si="1">IF(E38="","",IF(D38="Sì", 8-E38, E38))</f>
        <v>4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5.4</v>
      </c>
      <c r="M38" s="15">
        <f>IFERROR(AVERAGEIF(I38:I47,"&lt;&gt;"),"")</f>
        <v>5.6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6</v>
      </c>
      <c r="G39" s="10"/>
      <c r="H39" s="15">
        <f t="shared" si="1"/>
        <v>5</v>
      </c>
      <c r="I39" s="15">
        <f t="shared" si="2"/>
        <v>6</v>
      </c>
      <c r="J39" s="10"/>
      <c r="K39" s="17" t="s">
        <v>69</v>
      </c>
      <c r="L39" s="15">
        <f>IF(L38="","",(L38-1)*100/6)</f>
        <v>73.333333333333343</v>
      </c>
      <c r="M39" s="15">
        <f>IF(M38="","",(M38-1)*100/6)</f>
        <v>76.666666666666657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2</v>
      </c>
      <c r="G40" s="10"/>
      <c r="H40" s="15">
        <f t="shared" si="1"/>
        <v>3</v>
      </c>
      <c r="I40" s="15">
        <f t="shared" si="2"/>
        <v>6</v>
      </c>
      <c r="J40" s="10"/>
      <c r="K40" s="17" t="s">
        <v>72</v>
      </c>
      <c r="L40" s="15">
        <f>IFERROR(SUM(H38:H47),"")</f>
        <v>54</v>
      </c>
      <c r="M40" s="15">
        <f>IFERROR(SUM(H38:H47),"")</f>
        <v>54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7</v>
      </c>
      <c r="G41" s="10"/>
      <c r="H41" s="15">
        <f t="shared" si="1"/>
        <v>6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7</v>
      </c>
      <c r="F43" s="15">
        <v>6</v>
      </c>
      <c r="G43" s="10"/>
      <c r="H43" s="15">
        <f t="shared" si="1"/>
        <v>7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6</v>
      </c>
      <c r="F44" s="15">
        <v>6</v>
      </c>
      <c r="G44" s="10"/>
      <c r="H44" s="15">
        <f t="shared" si="1"/>
        <v>6</v>
      </c>
      <c r="I44" s="15">
        <f t="shared" si="2"/>
        <v>6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2</v>
      </c>
      <c r="F45" s="15">
        <v>3</v>
      </c>
      <c r="G45" s="10"/>
      <c r="H45" s="15">
        <f t="shared" si="1"/>
        <v>6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5</v>
      </c>
      <c r="G46" s="10"/>
      <c r="H46" s="15">
        <f t="shared" si="1"/>
        <v>6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243</v>
      </c>
    </row>
    <row r="47" spans="2:17" ht="28.8" x14ac:dyDescent="0.3">
      <c r="B47" s="15" t="s">
        <v>87</v>
      </c>
      <c r="C47" s="16" t="s">
        <v>88</v>
      </c>
      <c r="D47" s="15" t="s">
        <v>31</v>
      </c>
      <c r="E47" s="15">
        <v>5</v>
      </c>
      <c r="F47" s="15">
        <v>4</v>
      </c>
      <c r="G47" s="10"/>
      <c r="H47" s="15">
        <f t="shared" si="1"/>
        <v>5</v>
      </c>
      <c r="I47" s="15">
        <f t="shared" si="2"/>
        <v>4</v>
      </c>
      <c r="J47" s="10"/>
      <c r="K47" s="10"/>
      <c r="L47" s="10"/>
      <c r="M47" s="10"/>
      <c r="O47" s="14"/>
      <c r="P47" s="10"/>
      <c r="Q47" s="10" t="s">
        <v>244</v>
      </c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29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6.333333333333333</v>
      </c>
      <c r="M55" s="15">
        <f>IFERROR(AVERAGEIF(I55:I60,"&lt;&gt;"),"")</f>
        <v>5.6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7</v>
      </c>
      <c r="F56" s="15">
        <v>6</v>
      </c>
      <c r="G56" s="10"/>
      <c r="H56" s="15">
        <f t="shared" si="3"/>
        <v>7</v>
      </c>
      <c r="I56" s="15">
        <f t="shared" ref="I56:I60" si="4">IF(F56="","",IF(D56="Sì", 8-F56, F56))</f>
        <v>6</v>
      </c>
      <c r="J56" s="10"/>
      <c r="K56" s="17" t="s">
        <v>69</v>
      </c>
      <c r="L56" s="15">
        <f>IF(L55="","",(L55-1)*100/6)</f>
        <v>88.888888888888872</v>
      </c>
      <c r="M56" s="15">
        <f>IF(M55="","",(M55-1)*100/6)</f>
        <v>76.666666666666657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6</v>
      </c>
      <c r="G57" s="10"/>
      <c r="H57" s="15">
        <f t="shared" si="3"/>
        <v>6</v>
      </c>
      <c r="I57" s="15">
        <f t="shared" si="4"/>
        <v>6</v>
      </c>
      <c r="J57" s="10"/>
      <c r="K57" s="17" t="s">
        <v>72</v>
      </c>
      <c r="L57" s="15">
        <f>IFERROR(SUM(H55:H60),"")</f>
        <v>38</v>
      </c>
      <c r="M57" s="15">
        <f>IFERROR(SUM(I55:I60),"")</f>
        <v>28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1</v>
      </c>
      <c r="F58" s="15">
        <v>4</v>
      </c>
      <c r="G58" s="10"/>
      <c r="H58" s="15">
        <f t="shared" si="3"/>
        <v>7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5</v>
      </c>
      <c r="G59" s="10"/>
      <c r="H59" s="15">
        <f t="shared" si="3"/>
        <v>6</v>
      </c>
      <c r="I59" s="15">
        <f t="shared" si="4"/>
        <v>5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245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5.666666666666667</v>
      </c>
      <c r="M68" s="15">
        <f>IFERROR(AVERAGEIF(I68:I70,"&lt;&gt;"),"")</f>
        <v>6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6</v>
      </c>
      <c r="F69" s="15">
        <v>6</v>
      </c>
      <c r="G69" s="10"/>
      <c r="H69" s="15">
        <f>IF(E69="","",IF(D69="Sì", 8-E69, E69))</f>
        <v>6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77.777777777777786</v>
      </c>
      <c r="M69" s="15">
        <f>IF(M68="","",(M68-1)*100/6)</f>
        <v>83.333333333333329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2</v>
      </c>
      <c r="G70" s="10"/>
      <c r="H70" s="15">
        <f>IF(E70="","",IF(D70="Sì", 8-E70, E70))</f>
        <v>6</v>
      </c>
      <c r="I70" s="15">
        <f t="shared" si="5"/>
        <v>6</v>
      </c>
      <c r="J70" s="10"/>
      <c r="K70" s="17" t="s">
        <v>72</v>
      </c>
      <c r="L70" s="15">
        <f>IFERROR(SUM(H68:H70),"")</f>
        <v>17</v>
      </c>
      <c r="M70" s="15">
        <f>IFERROR(SUM(I68:I70),"")</f>
        <v>18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6</v>
      </c>
      <c r="G78" s="10"/>
      <c r="H78" s="15">
        <f t="shared" ref="H78:H83" si="6">IF(E78="","",IF(D78="Sì", 8-E78, E78))</f>
        <v>3</v>
      </c>
      <c r="I78" s="15">
        <f>IF(F78="","",IF(D78="Sì", 8-F78, F78))</f>
        <v>6</v>
      </c>
      <c r="J78" s="10"/>
      <c r="K78" s="17" t="s">
        <v>66</v>
      </c>
      <c r="L78" s="15">
        <f>IFERROR(AVERAGEIF(H78:H83,"&lt;&gt;"),"")</f>
        <v>2</v>
      </c>
      <c r="M78" s="15">
        <f>IFERROR(AVERAGEIF(I78:I83,"&lt;&gt;"),"")</f>
        <v>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1</v>
      </c>
      <c r="F79" s="15">
        <v>3</v>
      </c>
      <c r="G79" s="10"/>
      <c r="H79" s="15">
        <f t="shared" si="6"/>
        <v>1</v>
      </c>
      <c r="I79" s="15">
        <f t="shared" ref="I79:I83" si="7">IF(F79="","",IF(D79="Sì", 8-F79, F79))</f>
        <v>3</v>
      </c>
      <c r="J79" s="10"/>
      <c r="K79" s="17" t="s">
        <v>69</v>
      </c>
      <c r="L79" s="15">
        <f>IF(L78="","",(L78-1)*100/6)</f>
        <v>16.666666666666668</v>
      </c>
      <c r="M79" s="15">
        <f>IF(M78="","",(M78-1)*100/6)</f>
        <v>66.666666666666671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3</v>
      </c>
      <c r="F80" s="15">
        <v>5</v>
      </c>
      <c r="G80" s="10"/>
      <c r="H80" s="15">
        <f t="shared" si="6"/>
        <v>3</v>
      </c>
      <c r="I80" s="15">
        <f t="shared" si="7"/>
        <v>5</v>
      </c>
      <c r="J80" s="10"/>
      <c r="K80" s="17" t="s">
        <v>72</v>
      </c>
      <c r="L80" s="15">
        <f>IFERROR(SUM(H78:H83),"")</f>
        <v>12</v>
      </c>
      <c r="M80" s="15">
        <f>IFERROR(SUM(I78:I83),"")</f>
        <v>30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5</v>
      </c>
      <c r="G81" s="10"/>
      <c r="H81" s="15">
        <f t="shared" si="6"/>
        <v>1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2</v>
      </c>
      <c r="F82" s="15">
        <v>5</v>
      </c>
      <c r="G82" s="10"/>
      <c r="H82" s="15">
        <f t="shared" si="6"/>
        <v>2</v>
      </c>
      <c r="I82" s="15">
        <f t="shared" si="7"/>
        <v>5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2</v>
      </c>
      <c r="G83" s="10"/>
      <c r="H83" s="15">
        <f t="shared" si="6"/>
        <v>2</v>
      </c>
      <c r="I83" s="15">
        <f t="shared" si="7"/>
        <v>6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 t="s">
        <v>246</v>
      </c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3</v>
      </c>
      <c r="F91" s="15">
        <v>6</v>
      </c>
      <c r="G91" s="10"/>
      <c r="H91" s="15">
        <f>IF(E91="","",IF(D91="Sì", 8-E91, E91))</f>
        <v>3</v>
      </c>
      <c r="I91" s="15">
        <f>IF(F91="","",IF(D91="Sì", 8-F91, F91))</f>
        <v>6</v>
      </c>
      <c r="J91" s="10"/>
      <c r="K91" s="17" t="s">
        <v>66</v>
      </c>
      <c r="L91" s="15">
        <f>IFERROR(AVERAGEIF(H91:H95,"&lt;&gt;"),"")</f>
        <v>4.4000000000000004</v>
      </c>
      <c r="M91" s="15">
        <f>IFERROR(AVERAGEIF(I91:I95,"&lt;&gt;"),"")</f>
        <v>6.4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2</v>
      </c>
      <c r="F92" s="15">
        <v>2</v>
      </c>
      <c r="G92" s="10"/>
      <c r="H92" s="15">
        <f>IF(E92="","",IF(D92="Sì", 8-E92, E92))</f>
        <v>6</v>
      </c>
      <c r="I92" s="15">
        <f t="shared" ref="I92:I95" si="8">IF(F92="","",IF(D92="Sì", 8-F92, F92))</f>
        <v>6</v>
      </c>
      <c r="J92" s="10"/>
      <c r="K92" s="17" t="s">
        <v>69</v>
      </c>
      <c r="L92" s="15">
        <f>IF(L91="","",(L91-1)*100/6)</f>
        <v>56.666666666666679</v>
      </c>
      <c r="M92" s="15">
        <f>IF(M91="","",(M91-1)*100/6)</f>
        <v>90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1</v>
      </c>
      <c r="G93" s="10"/>
      <c r="H93" s="15">
        <f>IF(E93="","",IF(D93="Sì", 8-E93, E93))</f>
        <v>6</v>
      </c>
      <c r="I93" s="15">
        <f t="shared" si="8"/>
        <v>7</v>
      </c>
      <c r="J93" s="10"/>
      <c r="K93" s="17" t="s">
        <v>72</v>
      </c>
      <c r="L93" s="15">
        <f>IFERROR(SUM(H91:H95),"")</f>
        <v>22</v>
      </c>
      <c r="M93" s="15">
        <f>IFERROR(SUM(I91:I95),"")</f>
        <v>32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6</v>
      </c>
      <c r="G94" s="10"/>
      <c r="H94" s="15">
        <f>IF(E94="","",IF(D94="Sì", 8-E94, E94))</f>
        <v>5</v>
      </c>
      <c r="I94" s="15">
        <f t="shared" si="8"/>
        <v>6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6</v>
      </c>
      <c r="F95" s="15">
        <v>1</v>
      </c>
      <c r="G95" s="10"/>
      <c r="H95" s="15">
        <f>IF(E95="","",IF(D95="Sì", 8-E95, E95))</f>
        <v>2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5.6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76.666666666666657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28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3</v>
      </c>
      <c r="G107" s="10"/>
      <c r="H107" s="15">
        <f>IF(E107="","",IF(D107="Sì", 8-E107, E107))</f>
        <v>3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2</v>
      </c>
      <c r="F115" s="15">
        <v>1</v>
      </c>
      <c r="G115" s="10"/>
      <c r="H115" s="15">
        <f>IF(E115="","",IF(D115="Sì", 8-E115, E115))</f>
        <v>6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5.75</v>
      </c>
      <c r="M115" s="15">
        <f>IFERROR(AVERAGEIF(I115:I118,"&lt;&gt;"),"")</f>
        <v>6.75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6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6</v>
      </c>
      <c r="J116" s="10"/>
      <c r="K116" s="17" t="s">
        <v>69</v>
      </c>
      <c r="L116" s="15">
        <f>IF(L115="","",(L115-1)*100/6)</f>
        <v>79.166666666666671</v>
      </c>
      <c r="M116" s="15">
        <f>IF(M115="","",(M115-1)*100/6)</f>
        <v>95.833333333333329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23</v>
      </c>
      <c r="M117" s="15">
        <f>IFERROR(SUM(I115:I118),"")</f>
        <v>27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7</v>
      </c>
      <c r="G118" s="10"/>
      <c r="H118" s="15">
        <f>IF(E118="","",IF(D118="Sì", 8-E118, E118))</f>
        <v>5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55.55555555555555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5</v>
      </c>
      <c r="F128" s="15"/>
      <c r="G128" s="10"/>
      <c r="H128" s="15">
        <f>IF(E128="","",IF(D128="Sì", 8-E128, E128))</f>
        <v>5</v>
      </c>
      <c r="I128" s="15" t="str">
        <f t="shared" si="11"/>
        <v/>
      </c>
      <c r="J128" s="10"/>
      <c r="K128" s="17" t="s">
        <v>72</v>
      </c>
      <c r="L128" s="15">
        <f>IFERROR(SUM(H126:H128),"")</f>
        <v>13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6</v>
      </c>
      <c r="G136" s="10"/>
      <c r="H136" s="15">
        <f>IF(E136="","",IF(D136="Sì", 8-E136, E136))</f>
        <v>7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6.5</v>
      </c>
      <c r="M136" s="15">
        <f>IFERROR(AVERAGEIF(I136:I137,"&lt;&gt;"),"")</f>
        <v>5.5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6</v>
      </c>
      <c r="F137" s="15">
        <v>5</v>
      </c>
      <c r="G137" s="10"/>
      <c r="H137" s="15">
        <f>IF(E137="","",IF(D137="Sì", 8-E137, E137))</f>
        <v>6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91.666666666666671</v>
      </c>
      <c r="M137" s="15">
        <f>IF(M136="","",(M136-1)*100/6)</f>
        <v>75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13</v>
      </c>
      <c r="M138" s="15">
        <f>IFERROR(SUM(I136:I137),"")</f>
        <v>11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1</v>
      </c>
      <c r="F145" s="15">
        <v>1</v>
      </c>
      <c r="G145" s="10"/>
      <c r="H145" s="15">
        <f>IF(E145="","",E145)</f>
        <v>1</v>
      </c>
      <c r="I145" s="15">
        <f>IF(F145="","",F145)</f>
        <v>1</v>
      </c>
      <c r="J145" s="10"/>
      <c r="K145" s="17" t="s">
        <v>66</v>
      </c>
      <c r="L145" s="15">
        <f>IFERROR(AVERAGEIF(H145:H150,"&lt;&gt;"),"")</f>
        <v>0.66666666666666663</v>
      </c>
      <c r="M145" s="15">
        <f>IFERROR(AVERAGEIF(I145:I150,"&lt;&gt;"),"")</f>
        <v>0.66666666666666663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1</v>
      </c>
      <c r="F146" s="15">
        <v>1</v>
      </c>
      <c r="G146" s="10"/>
      <c r="H146" s="15">
        <f>IF(E146="","",E146)</f>
        <v>1</v>
      </c>
      <c r="I146" s="15">
        <f t="shared" ref="I146:I150" si="12">IF(F146="","",F146)</f>
        <v>1</v>
      </c>
      <c r="J146" s="10"/>
      <c r="K146" s="17" t="s">
        <v>173</v>
      </c>
      <c r="L146" s="15">
        <f>IF(L145="","",L145*100/3)</f>
        <v>22.222222222222218</v>
      </c>
      <c r="M146" s="15">
        <f>IF(M145="","",M145*100/3)</f>
        <v>22.222222222222218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2</v>
      </c>
      <c r="F150" s="15">
        <v>2</v>
      </c>
      <c r="G150" s="10"/>
      <c r="H150" s="15">
        <f>IF(E150="","",E150)</f>
        <v>2</v>
      </c>
      <c r="I150" s="15">
        <f t="shared" si="12"/>
        <v>2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2</v>
      </c>
      <c r="F158" s="15">
        <v>4</v>
      </c>
      <c r="G158" s="10"/>
      <c r="H158" s="15">
        <f t="shared" ref="H158:H167" si="13">IF(E158="","",IF(D158="Sì", 5-E158, E158-1))</f>
        <v>1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29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2</v>
      </c>
      <c r="F159" s="15">
        <v>1</v>
      </c>
      <c r="G159" s="10"/>
      <c r="H159" s="15">
        <f t="shared" si="13"/>
        <v>3</v>
      </c>
      <c r="I159" s="15">
        <f>IF(F159="","",IF(D159="Sì", 5-F159, F159-1))</f>
        <v>4</v>
      </c>
      <c r="J159" s="10"/>
      <c r="K159" s="17" t="s">
        <v>189</v>
      </c>
      <c r="L159" s="15">
        <f>IF(L158="","", L158*2.5 )</f>
        <v>72.5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3</v>
      </c>
      <c r="F160" s="15">
        <v>5</v>
      </c>
      <c r="G160" s="10"/>
      <c r="H160" s="15">
        <f t="shared" si="13"/>
        <v>2</v>
      </c>
      <c r="I160" s="15">
        <f t="shared" ref="I160:I167" si="14">IF(F160="","",IF(D160="Sì", 5-F160, F160-1))</f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4</v>
      </c>
      <c r="F161" s="15">
        <v>1</v>
      </c>
      <c r="G161" s="10"/>
      <c r="H161" s="15">
        <f t="shared" si="13"/>
        <v>1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>IF(F164="","",IF(D164="Sì", 5-F164, F164-1))</f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3</v>
      </c>
      <c r="F165" s="15">
        <v>1</v>
      </c>
      <c r="G165" s="10"/>
      <c r="H165" s="15">
        <f t="shared" si="13"/>
        <v>2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228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 t="s">
        <v>247</v>
      </c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1">
    <mergeCell ref="C155:G155"/>
    <mergeCell ref="K171:M171"/>
    <mergeCell ref="L172:M172"/>
    <mergeCell ref="B121:G121"/>
    <mergeCell ref="B131:G131"/>
    <mergeCell ref="C133:G133"/>
    <mergeCell ref="B140:G140"/>
    <mergeCell ref="C142:G142"/>
    <mergeCell ref="B153:G153"/>
    <mergeCell ref="B110:G110"/>
    <mergeCell ref="B1:G1"/>
    <mergeCell ref="B2:C2"/>
    <mergeCell ref="B15:G15"/>
    <mergeCell ref="C17:G17"/>
    <mergeCell ref="B31:G31"/>
    <mergeCell ref="B33:G33"/>
    <mergeCell ref="B50:G50"/>
    <mergeCell ref="B63:G63"/>
    <mergeCell ref="B73:G73"/>
    <mergeCell ref="B86:G86"/>
    <mergeCell ref="B98:G98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9A5A1E05-D242-43E9-BB15-2138B2211DC1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EC0FBB1-1CC0-412A-B72C-65881B9C4EBF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68DE6B6E-454E-426A-8EAA-727722E46170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53875B35-2903-4783-9C68-79FC0C20A28D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9A81DB76-4155-4C7D-A8EF-A2A7D3437DF8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27A18B4C-BBDC-45C4-8E21-179C678248D2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571C-EF64-4D39-BBB8-82EC7D291ED6}">
  <dimension ref="B1:Q205"/>
  <sheetViews>
    <sheetView topLeftCell="A177" zoomScale="106" zoomScaleNormal="55" workbookViewId="0">
      <selection activeCell="E189" sqref="E189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" style="2" customWidth="1"/>
    <col min="4" max="4" width="4.88671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252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22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164" t="s">
        <v>20</v>
      </c>
      <c r="D17" s="164"/>
      <c r="E17" s="164"/>
      <c r="F17" s="164"/>
      <c r="G17" s="164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2.2999999999999998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21.666666666666661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3</v>
      </c>
      <c r="F21" s="5">
        <f t="shared" si="0"/>
        <v>3</v>
      </c>
      <c r="G21" s="5"/>
      <c r="H21" s="3"/>
      <c r="I21" s="9" t="s">
        <v>35</v>
      </c>
      <c r="J21" s="5">
        <f>IFERROR(SUM(F20:F29),"")</f>
        <v>23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2</v>
      </c>
      <c r="F22" s="5">
        <f t="shared" si="0"/>
        <v>2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3</v>
      </c>
      <c r="F24" s="5">
        <f t="shared" si="0"/>
        <v>3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1</v>
      </c>
      <c r="F26" s="5">
        <f t="shared" si="0"/>
        <v>1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4</v>
      </c>
      <c r="F27" s="5">
        <f t="shared" si="0"/>
        <v>4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2</v>
      </c>
      <c r="F28" s="5">
        <f t="shared" si="0"/>
        <v>2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4</v>
      </c>
      <c r="F29" s="5">
        <f t="shared" si="0"/>
        <v>4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253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6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5.4</v>
      </c>
      <c r="M38" s="15">
        <f>IFERROR(AVERAGEIF(I38:I47,"&lt;&gt;"),"")</f>
        <v>5.8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6</v>
      </c>
      <c r="G39" s="10"/>
      <c r="H39" s="15">
        <f t="shared" si="1"/>
        <v>5</v>
      </c>
      <c r="I39" s="15">
        <f t="shared" si="2"/>
        <v>6</v>
      </c>
      <c r="J39" s="10"/>
      <c r="K39" s="17" t="s">
        <v>69</v>
      </c>
      <c r="L39" s="15">
        <f>IF(L38="","",(L38-1)*100/6)</f>
        <v>73.333333333333343</v>
      </c>
      <c r="M39" s="15">
        <f>IF(M38="","",(M38-1)*100/6)</f>
        <v>80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2</v>
      </c>
      <c r="F40" s="15">
        <v>1</v>
      </c>
      <c r="G40" s="10"/>
      <c r="H40" s="15">
        <f t="shared" si="1"/>
        <v>6</v>
      </c>
      <c r="I40" s="15">
        <f t="shared" si="2"/>
        <v>7</v>
      </c>
      <c r="J40" s="10"/>
      <c r="K40" s="17" t="s">
        <v>72</v>
      </c>
      <c r="L40" s="15">
        <f>IFERROR(SUM(H38:H47),"")</f>
        <v>54</v>
      </c>
      <c r="M40" s="15">
        <f>IFERROR(SUM(H38:H47),"")</f>
        <v>54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7</v>
      </c>
      <c r="G41" s="10"/>
      <c r="H41" s="15">
        <f t="shared" si="1"/>
        <v>6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5</v>
      </c>
      <c r="G43" s="10"/>
      <c r="H43" s="15">
        <f t="shared" si="1"/>
        <v>5</v>
      </c>
      <c r="I43" s="15">
        <f t="shared" si="2"/>
        <v>5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4</v>
      </c>
      <c r="G44" s="10"/>
      <c r="H44" s="15">
        <f t="shared" si="1"/>
        <v>4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88</v>
      </c>
      <c r="D47" s="15" t="s">
        <v>31</v>
      </c>
      <c r="E47" s="15">
        <v>4</v>
      </c>
      <c r="F47" s="15">
        <v>4</v>
      </c>
      <c r="G47" s="10"/>
      <c r="H47" s="15">
        <f t="shared" si="1"/>
        <v>4</v>
      </c>
      <c r="I47" s="15">
        <f t="shared" si="2"/>
        <v>4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6.166666666666667</v>
      </c>
      <c r="M55" s="15">
        <f>IFERROR(AVERAGEIF(I55:I60,"&lt;&gt;"),"")</f>
        <v>5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7</v>
      </c>
      <c r="F56" s="15">
        <v>5</v>
      </c>
      <c r="G56" s="10"/>
      <c r="H56" s="15">
        <f t="shared" si="3"/>
        <v>7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86.111111111111128</v>
      </c>
      <c r="M56" s="15">
        <f>IF(M55="","",(M55-1)*100/6)</f>
        <v>66.666666666666671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5</v>
      </c>
      <c r="G57" s="10"/>
      <c r="H57" s="15">
        <f t="shared" si="3"/>
        <v>7</v>
      </c>
      <c r="I57" s="15">
        <f t="shared" si="4"/>
        <v>5</v>
      </c>
      <c r="J57" s="10"/>
      <c r="K57" s="17" t="s">
        <v>72</v>
      </c>
      <c r="L57" s="15">
        <f>IFERROR(SUM(H55:H60),"")</f>
        <v>37</v>
      </c>
      <c r="M57" s="15">
        <f>IFERROR(SUM(I55:I60),"")</f>
        <v>25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7</v>
      </c>
      <c r="G58" s="10"/>
      <c r="H58" s="15">
        <f t="shared" si="3"/>
        <v>3</v>
      </c>
      <c r="I58" s="15">
        <f t="shared" si="4"/>
        <v>1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x14ac:dyDescent="0.3">
      <c r="B68" s="15" t="s">
        <v>104</v>
      </c>
      <c r="C68" s="16" t="s">
        <v>105</v>
      </c>
      <c r="D68" s="15" t="s">
        <v>31</v>
      </c>
      <c r="E68" s="15">
        <v>2</v>
      </c>
      <c r="F68" s="15">
        <v>2</v>
      </c>
      <c r="G68" s="10"/>
      <c r="H68" s="15">
        <f>IF(E68="","",IF(D68="Sì", 8-E68, E68))</f>
        <v>2</v>
      </c>
      <c r="I68" s="15">
        <f>IF(F68="","",IF(D68="Sì", 8-F68, F68))</f>
        <v>2</v>
      </c>
      <c r="J68" s="10"/>
      <c r="K68" s="17" t="s">
        <v>66</v>
      </c>
      <c r="L68" s="15">
        <f>IFERROR(AVERAGEIF(H68:H70,"&lt;&gt;"),"")</f>
        <v>2</v>
      </c>
      <c r="M68" s="15">
        <f>IFERROR(AVERAGEIF(I68:I70,"&lt;&gt;"),"")</f>
        <v>2.6666666666666665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2</v>
      </c>
      <c r="F69" s="15">
        <v>3</v>
      </c>
      <c r="G69" s="10"/>
      <c r="H69" s="15">
        <f>IF(E69="","",IF(D69="Sì", 8-E69, E69))</f>
        <v>2</v>
      </c>
      <c r="I69" s="15">
        <f t="shared" ref="I69:I70" si="5">IF(F69="","",IF(D69="Sì", 8-F69, F69))</f>
        <v>3</v>
      </c>
      <c r="J69" s="10"/>
      <c r="K69" s="17" t="s">
        <v>69</v>
      </c>
      <c r="L69" s="15">
        <f>IF(L68="","",(L68-1)*100/6)</f>
        <v>16.666666666666668</v>
      </c>
      <c r="M69" s="15">
        <f>IF(M68="","",(M68-1)*100/6)</f>
        <v>27.777777777777775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6</v>
      </c>
      <c r="F70" s="15">
        <v>5</v>
      </c>
      <c r="G70" s="10"/>
      <c r="H70" s="15">
        <f>IF(E70="","",IF(D70="Sì", 8-E70, E70))</f>
        <v>2</v>
      </c>
      <c r="I70" s="15">
        <f t="shared" si="5"/>
        <v>3</v>
      </c>
      <c r="J70" s="10"/>
      <c r="K70" s="17" t="s">
        <v>72</v>
      </c>
      <c r="L70" s="15">
        <f>IFERROR(SUM(H68:H70),"")</f>
        <v>6</v>
      </c>
      <c r="M70" s="15">
        <f>IFERROR(SUM(I68:I70),"")</f>
        <v>8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6</v>
      </c>
      <c r="G78" s="10"/>
      <c r="H78" s="15">
        <f t="shared" ref="H78:H83" si="6">IF(E78="","",IF(D78="Sì", 8-E78, E78))</f>
        <v>1</v>
      </c>
      <c r="I78" s="15">
        <f>IF(F78="","",IF(D78="Sì", 8-F78, F78))</f>
        <v>6</v>
      </c>
      <c r="J78" s="10"/>
      <c r="K78" s="17" t="s">
        <v>66</v>
      </c>
      <c r="L78" s="15">
        <f>IFERROR(AVERAGEIF(H78:H83,"&lt;&gt;"),"")</f>
        <v>1.5</v>
      </c>
      <c r="M78" s="15">
        <f>IFERROR(AVERAGEIF(I78:I83,"&lt;&gt;"),"")</f>
        <v>4.5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5</v>
      </c>
      <c r="G79" s="10"/>
      <c r="H79" s="15">
        <f t="shared" si="6"/>
        <v>2</v>
      </c>
      <c r="I79" s="15">
        <f t="shared" ref="I79:I83" si="7">IF(F79="","",IF(D79="Sì", 8-F79, F79))</f>
        <v>5</v>
      </c>
      <c r="J79" s="10"/>
      <c r="K79" s="17" t="s">
        <v>69</v>
      </c>
      <c r="L79" s="15">
        <f>IF(L78="","",(L78-1)*100/6)</f>
        <v>8.3333333333333339</v>
      </c>
      <c r="M79" s="15">
        <f>IF(M78="","",(M78-1)*100/6)</f>
        <v>58.333333333333336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2</v>
      </c>
      <c r="F80" s="15">
        <v>6</v>
      </c>
      <c r="G80" s="10"/>
      <c r="H80" s="15">
        <f t="shared" si="6"/>
        <v>2</v>
      </c>
      <c r="I80" s="15">
        <f t="shared" si="7"/>
        <v>6</v>
      </c>
      <c r="J80" s="10"/>
      <c r="K80" s="17" t="s">
        <v>72</v>
      </c>
      <c r="L80" s="15">
        <f>IFERROR(SUM(H78:H83),"")</f>
        <v>9</v>
      </c>
      <c r="M80" s="15">
        <f>IFERROR(SUM(I78:I83),"")</f>
        <v>27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5</v>
      </c>
      <c r="G81" s="10"/>
      <c r="H81" s="15">
        <f t="shared" si="6"/>
        <v>2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4</v>
      </c>
      <c r="G83" s="10"/>
      <c r="H83" s="15">
        <f t="shared" si="6"/>
        <v>1</v>
      </c>
      <c r="I83" s="15">
        <f t="shared" si="7"/>
        <v>4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5</v>
      </c>
      <c r="F91" s="15">
        <v>6</v>
      </c>
      <c r="G91" s="10"/>
      <c r="H91" s="15">
        <f>IF(E91="","",IF(D91="Sì", 8-E91, E91))</f>
        <v>5</v>
      </c>
      <c r="I91" s="15">
        <f>IF(F91="","",IF(D91="Sì", 8-F91, F91))</f>
        <v>6</v>
      </c>
      <c r="J91" s="10"/>
      <c r="K91" s="17" t="s">
        <v>66</v>
      </c>
      <c r="L91" s="15">
        <f>IFERROR(AVERAGEIF(H91:H95,"&lt;&gt;"),"")</f>
        <v>5.8</v>
      </c>
      <c r="M91" s="15">
        <f>IFERROR(AVERAGEIF(I91:I95,"&lt;&gt;"),"")</f>
        <v>6.4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2</v>
      </c>
      <c r="F92" s="15">
        <v>1</v>
      </c>
      <c r="G92" s="10"/>
      <c r="H92" s="15">
        <f>IF(E92="","",IF(D92="Sì", 8-E92, E92))</f>
        <v>6</v>
      </c>
      <c r="I92" s="15">
        <f t="shared" ref="I92:I95" si="8">IF(F92="","",IF(D92="Sì", 8-F92, F92))</f>
        <v>7</v>
      </c>
      <c r="J92" s="10"/>
      <c r="K92" s="17" t="s">
        <v>69</v>
      </c>
      <c r="L92" s="15">
        <f>IF(L91="","",(L91-1)*100/6)</f>
        <v>80</v>
      </c>
      <c r="M92" s="15">
        <f>IF(M91="","",(M91-1)*100/6)</f>
        <v>90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1</v>
      </c>
      <c r="G93" s="10"/>
      <c r="H93" s="15">
        <f>IF(E93="","",IF(D93="Sì", 8-E93, E93))</f>
        <v>7</v>
      </c>
      <c r="I93" s="15">
        <f t="shared" si="8"/>
        <v>7</v>
      </c>
      <c r="J93" s="10"/>
      <c r="K93" s="17" t="s">
        <v>72</v>
      </c>
      <c r="L93" s="15">
        <f>IFERROR(SUM(H91:H95),"")</f>
        <v>29</v>
      </c>
      <c r="M93" s="15">
        <f>IFERROR(SUM(I91:I95),"")</f>
        <v>32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5</v>
      </c>
      <c r="G94" s="10"/>
      <c r="H94" s="15">
        <f>IF(E94="","",IF(D94="Sì", 8-E94, E94))</f>
        <v>4</v>
      </c>
      <c r="I94" s="15">
        <f t="shared" si="8"/>
        <v>5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6.4</v>
      </c>
      <c r="M103" s="15">
        <f>IFERROR(AVERAGEIF(I103:I107,"&lt;&gt;"),"")</f>
        <v>6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7</v>
      </c>
      <c r="F104" s="15"/>
      <c r="G104" s="10"/>
      <c r="H104" s="15">
        <f>IF(E104="","",IF(D104="Sì", 8-E104, E104))</f>
        <v>7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90</v>
      </c>
      <c r="M104" s="15">
        <f>IF(M103="","",(M103-1)*100/6)</f>
        <v>83.333333333333329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2</v>
      </c>
      <c r="F105" s="15"/>
      <c r="G105" s="10"/>
      <c r="H105" s="15">
        <f>IF(E105="","",IF(D105="Sì", 8-E105, E105))</f>
        <v>6</v>
      </c>
      <c r="I105" s="15" t="str">
        <f t="shared" si="9"/>
        <v/>
      </c>
      <c r="J105" s="10"/>
      <c r="K105" s="17" t="s">
        <v>72</v>
      </c>
      <c r="L105" s="15">
        <f>IFERROR(SUM(H103:H107),"")</f>
        <v>32</v>
      </c>
      <c r="M105" s="15">
        <f>IFERROR(SUM(I103:I107),"")</f>
        <v>6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7</v>
      </c>
      <c r="F106" s="15"/>
      <c r="G106" s="10"/>
      <c r="H106" s="15">
        <f>IF(E106="","",IF(D106="Sì", 8-E106, E106))</f>
        <v>7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5</v>
      </c>
      <c r="F107" s="15">
        <v>6</v>
      </c>
      <c r="G107" s="10"/>
      <c r="H107" s="15">
        <f>IF(E107="","",IF(D107="Sì", 8-E107, E107))</f>
        <v>5</v>
      </c>
      <c r="I107" s="15">
        <f>IF(F107="","",IF(D107="Sì", 8-F107, F107))</f>
        <v>6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5</v>
      </c>
      <c r="F115" s="15">
        <v>3</v>
      </c>
      <c r="G115" s="10"/>
      <c r="H115" s="15">
        <f>IF(E115="","",IF(D115="Sì", 8-E115, E115))</f>
        <v>3</v>
      </c>
      <c r="I115" s="15">
        <f>IF(F115="","",IF(D115="Sì", 8-F115, F115))</f>
        <v>5</v>
      </c>
      <c r="J115" s="10"/>
      <c r="K115" s="17" t="s">
        <v>66</v>
      </c>
      <c r="L115" s="15">
        <f>IFERROR(AVERAGEIF(H115:H118,"&lt;&gt;"),"")</f>
        <v>5.25</v>
      </c>
      <c r="M115" s="15">
        <f>IFERROR(AVERAGEIF(I115:I118,"&lt;&gt;"),"")</f>
        <v>6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5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70.833333333333329</v>
      </c>
      <c r="M116" s="15">
        <f>IF(M115="","",(M115-1)*100/6)</f>
        <v>83.333333333333329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1</v>
      </c>
      <c r="G117" s="10"/>
      <c r="H117" s="15">
        <f>IF(E117="","",IF(D117="Sì", 8-E117, E117))</f>
        <v>6</v>
      </c>
      <c r="I117" s="15">
        <f t="shared" si="10"/>
        <v>7</v>
      </c>
      <c r="J117" s="10"/>
      <c r="K117" s="17" t="s">
        <v>72</v>
      </c>
      <c r="L117" s="15">
        <f>IFERROR(SUM(H115:H118),"")</f>
        <v>21</v>
      </c>
      <c r="M117" s="15">
        <f>IFERROR(SUM(I115:I118),"")</f>
        <v>24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66.666666666666671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15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6</v>
      </c>
      <c r="G136" s="10"/>
      <c r="H136" s="15">
        <f>IF(E136="","",IF(D136="Sì", 8-E136, E136))</f>
        <v>5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3.5</v>
      </c>
      <c r="M136" s="15">
        <f>IFERROR(AVERAGEIF(I136:I137,"&lt;&gt;"),"")</f>
        <v>4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2</v>
      </c>
      <c r="F137" s="15">
        <v>2</v>
      </c>
      <c r="G137" s="10"/>
      <c r="H137" s="15">
        <f>IF(E137="","",IF(D137="Sì", 8-E137, E137))</f>
        <v>2</v>
      </c>
      <c r="I137" s="15">
        <f>IF(F137="","",IF(D137="Sì", 8-F137, F137))</f>
        <v>2</v>
      </c>
      <c r="J137" s="10"/>
      <c r="K137" s="17" t="s">
        <v>69</v>
      </c>
      <c r="L137" s="15">
        <f>IF(L136="","",(L136-1)*100/6)</f>
        <v>41.666666666666664</v>
      </c>
      <c r="M137" s="15">
        <f>IF(M136="","",(M136-1)*100/6)</f>
        <v>50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7</v>
      </c>
      <c r="M138" s="15">
        <f>IFERROR(SUM(I136:I137),"")</f>
        <v>8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2</v>
      </c>
      <c r="F158" s="15">
        <v>5</v>
      </c>
      <c r="G158" s="10"/>
      <c r="H158" s="15">
        <f t="shared" ref="H158:H167" si="13">IF(E158="","",IF(D158="Sì", 5-E158, E158-1))</f>
        <v>1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28</v>
      </c>
      <c r="M158" s="15">
        <f>IFERROR(SUM(I158:I167),"")</f>
        <v>40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3</v>
      </c>
      <c r="F159" s="15">
        <v>1</v>
      </c>
      <c r="G159" s="10"/>
      <c r="H159" s="15">
        <f t="shared" si="13"/>
        <v>2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70</v>
      </c>
      <c r="M159" s="15">
        <f>IF(M158="","", M158*2.5 )</f>
        <v>100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4</v>
      </c>
      <c r="F160" s="15">
        <v>5</v>
      </c>
      <c r="G160" s="10"/>
      <c r="H160" s="15">
        <f t="shared" si="13"/>
        <v>3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4</v>
      </c>
      <c r="F161" s="15">
        <v>1</v>
      </c>
      <c r="G161" s="10"/>
      <c r="H161" s="15">
        <f t="shared" si="13"/>
        <v>1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3</v>
      </c>
      <c r="F164" s="15">
        <v>5</v>
      </c>
      <c r="G164" s="10"/>
      <c r="H164" s="15">
        <f t="shared" si="13"/>
        <v>2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2</v>
      </c>
      <c r="F167" s="15">
        <v>1</v>
      </c>
      <c r="G167" s="10"/>
      <c r="H167" s="15">
        <f t="shared" si="13"/>
        <v>3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3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2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0.66666666666666663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228</v>
      </c>
      <c r="D187" s="22"/>
      <c r="E187" s="25">
        <v>2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1">
    <mergeCell ref="C155:G155"/>
    <mergeCell ref="K171:M171"/>
    <mergeCell ref="L172:M172"/>
    <mergeCell ref="B121:G121"/>
    <mergeCell ref="B131:G131"/>
    <mergeCell ref="C133:G133"/>
    <mergeCell ref="B140:G140"/>
    <mergeCell ref="C142:G142"/>
    <mergeCell ref="B153:G153"/>
    <mergeCell ref="B110:G110"/>
    <mergeCell ref="B1:G1"/>
    <mergeCell ref="B2:C2"/>
    <mergeCell ref="B15:G15"/>
    <mergeCell ref="C17:G17"/>
    <mergeCell ref="B31:G31"/>
    <mergeCell ref="B33:G33"/>
    <mergeCell ref="B50:G50"/>
    <mergeCell ref="B63:G63"/>
    <mergeCell ref="B73:G73"/>
    <mergeCell ref="B86:G86"/>
    <mergeCell ref="B98:G98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97825210-488E-493A-881E-00E08CACA56E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0F9C3C80-928D-45BE-B0E2-D814EB3382E6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8DA759BC-8495-48F0-A5EC-72AE2A4C84C3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C9BD3E23-B76E-422A-898B-0FBA9EC51B33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639B4CF5-2A41-4B4B-98ED-5E42B8B28FF2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81047308-101C-47B9-9F62-368972C543E9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AC14-B17A-456D-8DBD-E814DD9D9C5F}">
  <dimension ref="B1:Q205"/>
  <sheetViews>
    <sheetView topLeftCell="A175" zoomScale="109" zoomScaleNormal="55" workbookViewId="0">
      <selection activeCell="F70" sqref="F70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" style="2" customWidth="1"/>
    <col min="4" max="4" width="7.21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254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22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243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164" t="s">
        <v>20</v>
      </c>
      <c r="D17" s="164"/>
      <c r="E17" s="164"/>
      <c r="F17" s="164"/>
      <c r="G17" s="164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2.4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23.333333333333332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3</v>
      </c>
      <c r="F21" s="5">
        <f t="shared" si="0"/>
        <v>3</v>
      </c>
      <c r="G21" s="5"/>
      <c r="H21" s="3"/>
      <c r="I21" s="9" t="s">
        <v>35</v>
      </c>
      <c r="J21" s="5">
        <f>IFERROR(SUM(F20:F29),"")</f>
        <v>24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4</v>
      </c>
      <c r="F22" s="5">
        <f t="shared" si="0"/>
        <v>4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2</v>
      </c>
      <c r="F24" s="5">
        <f t="shared" si="0"/>
        <v>2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1</v>
      </c>
      <c r="F27" s="5">
        <f t="shared" si="0"/>
        <v>1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3</v>
      </c>
      <c r="F28" s="5">
        <f t="shared" si="0"/>
        <v>3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3</v>
      </c>
      <c r="F29" s="5">
        <f t="shared" si="0"/>
        <v>5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2" spans="2:10" x14ac:dyDescent="0.3">
      <c r="C32" s="30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3</v>
      </c>
      <c r="F38" s="15">
        <v>4</v>
      </c>
      <c r="G38" s="10"/>
      <c r="H38" s="15">
        <f t="shared" ref="H38:H47" si="1">IF(E38="","",IF(D38="Sì", 8-E38, E38))</f>
        <v>3</v>
      </c>
      <c r="I38" s="15">
        <f t="shared" ref="I38:I47" si="2">IF(F38="","",IF(D38="Sì", 8-F38, F38))</f>
        <v>4</v>
      </c>
      <c r="J38" s="10"/>
      <c r="K38" s="17" t="s">
        <v>66</v>
      </c>
      <c r="L38" s="15">
        <f>IFERROR(AVERAGEIF(H38:H47,"&lt;&gt;"),"")</f>
        <v>4.9000000000000004</v>
      </c>
      <c r="M38" s="15">
        <f>IFERROR(AVERAGEIF(I38:I47,"&lt;&gt;"),"")</f>
        <v>5.2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7</v>
      </c>
      <c r="G39" s="10"/>
      <c r="H39" s="15">
        <f t="shared" si="1"/>
        <v>6</v>
      </c>
      <c r="I39" s="15">
        <f t="shared" si="2"/>
        <v>7</v>
      </c>
      <c r="J39" s="10"/>
      <c r="K39" s="17" t="s">
        <v>69</v>
      </c>
      <c r="L39" s="15">
        <f>IF(L38="","",(L38-1)*100/6)</f>
        <v>65.000000000000014</v>
      </c>
      <c r="M39" s="15">
        <f>IF(M38="","",(M38-1)*100/6)</f>
        <v>70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5</v>
      </c>
      <c r="G40" s="10"/>
      <c r="H40" s="15">
        <f t="shared" si="1"/>
        <v>3</v>
      </c>
      <c r="I40" s="15">
        <f t="shared" si="2"/>
        <v>3</v>
      </c>
      <c r="J40" s="10"/>
      <c r="K40" s="17" t="s">
        <v>72</v>
      </c>
      <c r="L40" s="15">
        <f>IFERROR(SUM(H38:H47),"")</f>
        <v>49</v>
      </c>
      <c r="M40" s="15">
        <f>IFERROR(SUM(H38:H47),"")</f>
        <v>49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6</v>
      </c>
      <c r="G42" s="10"/>
      <c r="H42" s="15">
        <f t="shared" si="1"/>
        <v>5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6</v>
      </c>
      <c r="F43" s="15">
        <v>6</v>
      </c>
      <c r="G43" s="10"/>
      <c r="H43" s="15">
        <f t="shared" si="1"/>
        <v>6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5</v>
      </c>
      <c r="G44" s="10"/>
      <c r="H44" s="15">
        <f t="shared" si="1"/>
        <v>4</v>
      </c>
      <c r="I44" s="15">
        <f t="shared" si="2"/>
        <v>5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37.200000000000003" customHeight="1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5</v>
      </c>
      <c r="G46" s="10"/>
      <c r="H46" s="15">
        <f t="shared" si="1"/>
        <v>6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243</v>
      </c>
    </row>
    <row r="47" spans="2:17" ht="28.8" x14ac:dyDescent="0.3">
      <c r="B47" s="15" t="s">
        <v>87</v>
      </c>
      <c r="C47" s="16" t="s">
        <v>249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6.333333333333333</v>
      </c>
      <c r="M55" s="15">
        <f>IFERROR(AVERAGEIF(I55:I60,"&lt;&gt;"),"")</f>
        <v>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5</v>
      </c>
      <c r="G56" s="10"/>
      <c r="H56" s="15">
        <f t="shared" si="3"/>
        <v>6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88.888888888888872</v>
      </c>
      <c r="M56" s="15">
        <f>IF(M55="","",(M55-1)*100/6)</f>
        <v>83.333333333333329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7</v>
      </c>
      <c r="G57" s="10"/>
      <c r="H57" s="15">
        <f t="shared" si="3"/>
        <v>7</v>
      </c>
      <c r="I57" s="15">
        <f t="shared" si="4"/>
        <v>7</v>
      </c>
      <c r="J57" s="10"/>
      <c r="K57" s="17" t="s">
        <v>72</v>
      </c>
      <c r="L57" s="15">
        <f>IFERROR(SUM(H55:H60),"")</f>
        <v>38</v>
      </c>
      <c r="M57" s="15">
        <f>IFERROR(SUM(I55:I60),"")</f>
        <v>30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4</v>
      </c>
      <c r="G58" s="10"/>
      <c r="H58" s="15">
        <f t="shared" si="3"/>
        <v>5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x14ac:dyDescent="0.3">
      <c r="B68" s="15" t="s">
        <v>104</v>
      </c>
      <c r="C68" s="16" t="s">
        <v>105</v>
      </c>
      <c r="D68" s="15" t="s">
        <v>31</v>
      </c>
      <c r="E68" s="15">
        <v>5</v>
      </c>
      <c r="F68" s="15">
        <v>5</v>
      </c>
      <c r="G68" s="10"/>
      <c r="H68" s="15">
        <f>IF(E68="","",IF(D68="Sì", 8-E68, E68))</f>
        <v>5</v>
      </c>
      <c r="I68" s="15">
        <f>IF(F68="","",IF(D68="Sì", 8-F68, F68))</f>
        <v>5</v>
      </c>
      <c r="J68" s="10"/>
      <c r="K68" s="17" t="s">
        <v>66</v>
      </c>
      <c r="L68" s="15">
        <f>IFERROR(AVERAGEIF(H68:H70,"&lt;&gt;"),"")</f>
        <v>5.666666666666667</v>
      </c>
      <c r="M68" s="15">
        <f>IFERROR(AVERAGEIF(I68:I70,"&lt;&gt;"),"")</f>
        <v>6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5</v>
      </c>
      <c r="F69" s="15">
        <v>6</v>
      </c>
      <c r="G69" s="10"/>
      <c r="H69" s="15">
        <f>IF(E69="","",IF(D69="Sì", 8-E69, E69))</f>
        <v>5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77.777777777777786</v>
      </c>
      <c r="M69" s="15">
        <f>IF(M68="","",(M68-1)*100/6)</f>
        <v>83.333333333333329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17</v>
      </c>
      <c r="M70" s="15">
        <f>IFERROR(SUM(I68:I70),"")</f>
        <v>18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5</v>
      </c>
      <c r="G78" s="10"/>
      <c r="H78" s="15">
        <f t="shared" ref="H78:H83" si="6">IF(E78="","",IF(D78="Sì", 8-E78, E78))</f>
        <v>1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1.1666666666666667</v>
      </c>
      <c r="M78" s="15">
        <f>IFERROR(AVERAGEIF(I78:I83,"&lt;&gt;"),"")</f>
        <v>3.5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1</v>
      </c>
      <c r="G79" s="10"/>
      <c r="H79" s="15">
        <f t="shared" si="6"/>
        <v>2</v>
      </c>
      <c r="I79" s="15">
        <f t="shared" ref="I79:I83" si="7">IF(F79="","",IF(D79="Sì", 8-F79, F79))</f>
        <v>1</v>
      </c>
      <c r="J79" s="10"/>
      <c r="K79" s="17" t="s">
        <v>69</v>
      </c>
      <c r="L79" s="15">
        <f>IF(L78="","",(L78-1)*100/6)</f>
        <v>2.777777777777779</v>
      </c>
      <c r="M79" s="15">
        <f>IF(M78="","",(M78-1)*100/6)</f>
        <v>41.666666666666664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1</v>
      </c>
      <c r="F80" s="15">
        <v>5</v>
      </c>
      <c r="G80" s="10"/>
      <c r="H80" s="15">
        <f t="shared" si="6"/>
        <v>1</v>
      </c>
      <c r="I80" s="15">
        <f t="shared" si="7"/>
        <v>5</v>
      </c>
      <c r="J80" s="10"/>
      <c r="K80" s="17" t="s">
        <v>72</v>
      </c>
      <c r="L80" s="15">
        <f>IFERROR(SUM(H78:H83),"")</f>
        <v>7</v>
      </c>
      <c r="M80" s="15">
        <f>IFERROR(SUM(I78:I83),"")</f>
        <v>21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3</v>
      </c>
      <c r="G81" s="10"/>
      <c r="H81" s="15">
        <f t="shared" si="6"/>
        <v>1</v>
      </c>
      <c r="I81" s="15">
        <f t="shared" si="7"/>
        <v>3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2</v>
      </c>
      <c r="G83" s="10"/>
      <c r="H83" s="15">
        <f t="shared" si="6"/>
        <v>1</v>
      </c>
      <c r="I83" s="15">
        <f t="shared" si="7"/>
        <v>6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5</v>
      </c>
      <c r="M91" s="15">
        <f>IFERROR(AVERAGEIF(I91:I95,"&lt;&gt;"),"")</f>
        <v>5.2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1</v>
      </c>
      <c r="G92" s="10"/>
      <c r="H92" s="15">
        <f>IF(E92="","",IF(D92="Sì", 8-E92, E92))</f>
        <v>7</v>
      </c>
      <c r="I92" s="15">
        <f t="shared" ref="I92:I95" si="8">IF(F92="","",IF(D92="Sì", 8-F92, F92))</f>
        <v>7</v>
      </c>
      <c r="J92" s="10"/>
      <c r="K92" s="17" t="s">
        <v>69</v>
      </c>
      <c r="L92" s="15">
        <f>IF(L91="","",(L91-1)*100/6)</f>
        <v>66.666666666666671</v>
      </c>
      <c r="M92" s="15">
        <f>IF(M91="","",(M91-1)*100/6)</f>
        <v>70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1</v>
      </c>
      <c r="G93" s="10"/>
      <c r="H93" s="15">
        <f>IF(E93="","",IF(D93="Sì", 8-E93, E93))</f>
        <v>6</v>
      </c>
      <c r="I93" s="15">
        <f t="shared" si="8"/>
        <v>7</v>
      </c>
      <c r="J93" s="10"/>
      <c r="K93" s="17" t="s">
        <v>72</v>
      </c>
      <c r="L93" s="15">
        <f>IFERROR(SUM(H91:H95),"")</f>
        <v>25</v>
      </c>
      <c r="M93" s="15">
        <f>IFERROR(SUM(I91:I95),"")</f>
        <v>26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1</v>
      </c>
      <c r="F94" s="15">
        <v>1</v>
      </c>
      <c r="G94" s="10"/>
      <c r="H94" s="15">
        <f>IF(E94="","",IF(D94="Sì", 8-E94, E94))</f>
        <v>1</v>
      </c>
      <c r="I94" s="15">
        <f t="shared" si="8"/>
        <v>1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4</v>
      </c>
      <c r="F95" s="15">
        <v>4</v>
      </c>
      <c r="G95" s="10"/>
      <c r="H95" s="15">
        <f>IF(E95="","",IF(D95="Sì", 8-E95, E95))</f>
        <v>4</v>
      </c>
      <c r="I95" s="15">
        <f t="shared" si="8"/>
        <v>4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6.2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7</v>
      </c>
      <c r="F104" s="15"/>
      <c r="G104" s="10"/>
      <c r="H104" s="15">
        <f>IF(E104="","",IF(D104="Sì", 8-E104, E104))</f>
        <v>7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86.666666666666671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31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7</v>
      </c>
      <c r="F106" s="15"/>
      <c r="G106" s="10"/>
      <c r="H106" s="15">
        <f>IF(E106="","",IF(D106="Sì", 8-E106, E106))</f>
        <v>7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3</v>
      </c>
      <c r="G107" s="10"/>
      <c r="H107" s="15">
        <f>IF(E107="","",IF(D107="Sì", 8-E107, E107))</f>
        <v>3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6.25</v>
      </c>
      <c r="M115" s="15">
        <f>IFERROR(AVERAGEIF(I115:I118,"&lt;&gt;"),"")</f>
        <v>6.25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4</v>
      </c>
      <c r="F116" s="15">
        <v>4</v>
      </c>
      <c r="G116" s="10"/>
      <c r="H116" s="15">
        <f>IF(E116="","",IF(D116="Sì", 8-E116, E116))</f>
        <v>4</v>
      </c>
      <c r="I116" s="15">
        <f t="shared" ref="I116:I117" si="10">IF(F116="","",IF(D116="Sì", 8-F116, F116))</f>
        <v>4</v>
      </c>
      <c r="J116" s="10"/>
      <c r="K116" s="17" t="s">
        <v>69</v>
      </c>
      <c r="L116" s="15">
        <f>IF(L115="","",(L115-1)*100/6)</f>
        <v>87.5</v>
      </c>
      <c r="M116" s="15">
        <f>IF(M115="","",(M115-1)*100/6)</f>
        <v>87.5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25</v>
      </c>
      <c r="M117" s="15">
        <f>IFERROR(SUM(I115:I118),"")</f>
        <v>25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61.111111111111114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14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6</v>
      </c>
      <c r="G136" s="10"/>
      <c r="H136" s="15">
        <f>IF(E136="","",IF(D136="Sì", 8-E136, E136))</f>
        <v>7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7</v>
      </c>
      <c r="M136" s="15">
        <f>IFERROR(AVERAGEIF(I136:I137,"&lt;&gt;"),"")</f>
        <v>6.5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7</v>
      </c>
      <c r="F137" s="15">
        <v>7</v>
      </c>
      <c r="G137" s="10"/>
      <c r="H137" s="15">
        <f>IF(E137="","",IF(D137="Sì", 8-E137, E137))</f>
        <v>7</v>
      </c>
      <c r="I137" s="15">
        <f>IF(F137="","",IF(D137="Sì", 8-F137, F137))</f>
        <v>7</v>
      </c>
      <c r="J137" s="10"/>
      <c r="K137" s="17" t="s">
        <v>69</v>
      </c>
      <c r="L137" s="15">
        <f>IF(L136="","",(L136-1)*100/6)</f>
        <v>100</v>
      </c>
      <c r="M137" s="15">
        <f>IF(M136="","",(M136-1)*100/6)</f>
        <v>91.666666666666671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14</v>
      </c>
      <c r="M138" s="15">
        <f>IFERROR(SUM(I136:I137),"")</f>
        <v>13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0.16666666666666666</v>
      </c>
      <c r="M145" s="15">
        <f>IFERROR(AVERAGEIF(I145:I150,"&lt;&gt;"),"")</f>
        <v>0.16666666666666666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5.5555555555555545</v>
      </c>
      <c r="M146" s="15">
        <f>IF(M145="","",M145*100/3)</f>
        <v>5.5555555555555545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1</v>
      </c>
      <c r="F149" s="15">
        <v>1</v>
      </c>
      <c r="G149" s="10"/>
      <c r="H149" s="15">
        <f>IF(E149="","",E149)</f>
        <v>1</v>
      </c>
      <c r="I149" s="15">
        <f t="shared" si="12"/>
        <v>1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4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38</v>
      </c>
      <c r="M158" s="15">
        <f>IFERROR(SUM(I158:I167),"")</f>
        <v>38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95</v>
      </c>
      <c r="M159" s="15">
        <f>IF(M158="","", M158*2.5 )</f>
        <v>95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3</v>
      </c>
      <c r="F161" s="15">
        <v>2</v>
      </c>
      <c r="G161" s="10"/>
      <c r="H161" s="15">
        <f t="shared" si="13"/>
        <v>2</v>
      </c>
      <c r="I161" s="15">
        <f t="shared" si="14"/>
        <v>3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228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1">
    <mergeCell ref="C155:G155"/>
    <mergeCell ref="K171:M171"/>
    <mergeCell ref="L172:M172"/>
    <mergeCell ref="B121:G121"/>
    <mergeCell ref="B131:G131"/>
    <mergeCell ref="C133:G133"/>
    <mergeCell ref="B140:G140"/>
    <mergeCell ref="C142:G142"/>
    <mergeCell ref="B153:G153"/>
    <mergeCell ref="B110:G110"/>
    <mergeCell ref="B1:G1"/>
    <mergeCell ref="B2:C2"/>
    <mergeCell ref="B15:G15"/>
    <mergeCell ref="C17:G17"/>
    <mergeCell ref="B31:G31"/>
    <mergeCell ref="B33:G33"/>
    <mergeCell ref="B50:G50"/>
    <mergeCell ref="B63:G63"/>
    <mergeCell ref="B73:G73"/>
    <mergeCell ref="B86:G86"/>
    <mergeCell ref="B98:G98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C2CB8E43-26E0-4F4A-819C-DEF061BCC5FD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A344ED38-4B75-4FAE-B68E-C0DCB2A193F5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CD12FBA9-F58C-4F7D-8000-FBEEA07F27EB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7058C3D3-670A-4142-A1C9-7346CE1E58B6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52964865-749F-4523-84BB-BC1E877D005A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D2171068-26A0-41EB-9E16-D2762EC7F21B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FE5E5-8FD6-4107-9DE3-F5BB63787F6B}">
  <dimension ref="B1:Q205"/>
  <sheetViews>
    <sheetView topLeftCell="B181" zoomScale="110" zoomScaleNormal="55" workbookViewId="0">
      <selection activeCell="E71" sqref="E71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8.332031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255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25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3.9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5</v>
      </c>
      <c r="F20" s="5">
        <f t="shared" ref="F20:F29" si="0">IF(E20="","",IF(D20="Sì", 8-E20, E20))</f>
        <v>5</v>
      </c>
      <c r="G20" s="5"/>
      <c r="H20" s="3"/>
      <c r="I20" s="9" t="s">
        <v>32</v>
      </c>
      <c r="J20" s="5">
        <f>IF(J19="","",( J19-1 )*100/6)</f>
        <v>48.333333333333336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6</v>
      </c>
      <c r="F21" s="5">
        <f t="shared" si="0"/>
        <v>6</v>
      </c>
      <c r="G21" s="5"/>
      <c r="H21" s="3"/>
      <c r="I21" s="9" t="s">
        <v>35</v>
      </c>
      <c r="J21" s="5">
        <f>IFERROR(SUM(F20:F29),"")</f>
        <v>39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3</v>
      </c>
      <c r="F22" s="5">
        <f t="shared" si="0"/>
        <v>3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5</v>
      </c>
      <c r="F24" s="5">
        <f t="shared" si="0"/>
        <v>5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3</v>
      </c>
      <c r="F26" s="5">
        <f t="shared" si="0"/>
        <v>3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6</v>
      </c>
      <c r="F27" s="5">
        <f t="shared" si="0"/>
        <v>6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4</v>
      </c>
      <c r="F28" s="5">
        <f t="shared" si="0"/>
        <v>4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3</v>
      </c>
      <c r="F29" s="5">
        <f t="shared" si="0"/>
        <v>5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4.5</v>
      </c>
      <c r="M38" s="15">
        <f>IFERROR(AVERAGEIF(I38:I47,"&lt;&gt;"),"")</f>
        <v>5.0999999999999996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58.333333333333336</v>
      </c>
      <c r="M39" s="15">
        <f>IF(M38="","",(M38-1)*100/6)</f>
        <v>68.333333333333329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7</v>
      </c>
      <c r="F40" s="15">
        <v>5</v>
      </c>
      <c r="G40" s="10"/>
      <c r="H40" s="15">
        <f t="shared" si="1"/>
        <v>1</v>
      </c>
      <c r="I40" s="15">
        <f t="shared" si="2"/>
        <v>3</v>
      </c>
      <c r="J40" s="10"/>
      <c r="K40" s="17" t="s">
        <v>72</v>
      </c>
      <c r="L40" s="15">
        <f>IFERROR(SUM(H38:H47),"")</f>
        <v>45</v>
      </c>
      <c r="M40" s="15">
        <f>IFERROR(SUM(H38:H47),"")</f>
        <v>45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7</v>
      </c>
      <c r="G43" s="10"/>
      <c r="H43" s="15">
        <f t="shared" si="1"/>
        <v>5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4</v>
      </c>
      <c r="G44" s="10"/>
      <c r="H44" s="15">
        <f t="shared" si="1"/>
        <v>4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4</v>
      </c>
      <c r="F45" s="15">
        <v>3</v>
      </c>
      <c r="G45" s="10"/>
      <c r="H45" s="15">
        <f t="shared" si="1"/>
        <v>4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6</v>
      </c>
      <c r="G46" s="10"/>
      <c r="H46" s="15">
        <f t="shared" si="1"/>
        <v>5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2</v>
      </c>
      <c r="F47" s="15">
        <v>2</v>
      </c>
      <c r="G47" s="10"/>
      <c r="H47" s="15">
        <f t="shared" si="1"/>
        <v>2</v>
      </c>
      <c r="I47" s="15">
        <f t="shared" si="2"/>
        <v>2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6.166666666666667</v>
      </c>
      <c r="M55" s="15">
        <f>IFERROR(AVERAGEIF(I55:I60,"&lt;&gt;"),"")</f>
        <v>5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3</v>
      </c>
      <c r="G56" s="10"/>
      <c r="H56" s="15">
        <f t="shared" si="3"/>
        <v>6</v>
      </c>
      <c r="I56" s="15">
        <f t="shared" ref="I56:I60" si="4">IF(F56="","",IF(D56="Sì", 8-F56, F56))</f>
        <v>3</v>
      </c>
      <c r="J56" s="10"/>
      <c r="K56" s="17" t="s">
        <v>69</v>
      </c>
      <c r="L56" s="15">
        <f>IF(L55="","",(L55-1)*100/6)</f>
        <v>86.111111111111128</v>
      </c>
      <c r="M56" s="15">
        <f>IF(M55="","",(M55-1)*100/6)</f>
        <v>66.666666666666671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6</v>
      </c>
      <c r="G57" s="10"/>
      <c r="H57" s="15">
        <f t="shared" si="3"/>
        <v>7</v>
      </c>
      <c r="I57" s="15">
        <f t="shared" si="4"/>
        <v>6</v>
      </c>
      <c r="J57" s="10"/>
      <c r="K57" s="17" t="s">
        <v>72</v>
      </c>
      <c r="L57" s="15">
        <f>IFERROR(SUM(H55:H60),"")</f>
        <v>37</v>
      </c>
      <c r="M57" s="15">
        <f>IFERROR(SUM(I55:I60),"")</f>
        <v>25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4</v>
      </c>
      <c r="G58" s="10"/>
      <c r="H58" s="15">
        <f t="shared" si="3"/>
        <v>5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5</v>
      </c>
      <c r="G59" s="10"/>
      <c r="H59" s="15">
        <f t="shared" si="3"/>
        <v>6</v>
      </c>
      <c r="I59" s="15">
        <f t="shared" si="4"/>
        <v>5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5</v>
      </c>
      <c r="G68" s="10"/>
      <c r="H68" s="15">
        <f>IF(E68="","",IF(D68="Sì", 8-E68, E68))</f>
        <v>5</v>
      </c>
      <c r="I68" s="15">
        <f>IF(F68="","",IF(D68="Sì", 8-F68, F68))</f>
        <v>5</v>
      </c>
      <c r="J68" s="10"/>
      <c r="K68" s="17" t="s">
        <v>66</v>
      </c>
      <c r="L68" s="15">
        <f>IFERROR(AVERAGEIF(H68:H70,"&lt;&gt;"),"")</f>
        <v>5.333333333333333</v>
      </c>
      <c r="M68" s="15">
        <f>IFERROR(AVERAGEIF(I68:I70,"&lt;&gt;"),"")</f>
        <v>5.666666666666667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5</v>
      </c>
      <c r="F69" s="15">
        <v>5</v>
      </c>
      <c r="G69" s="10"/>
      <c r="H69" s="15">
        <f>IF(E69="","",IF(D69="Sì", 8-E69, E69))</f>
        <v>5</v>
      </c>
      <c r="I69" s="15">
        <f t="shared" ref="I69:I70" si="5">IF(F69="","",IF(D69="Sì", 8-F69, F69))</f>
        <v>5</v>
      </c>
      <c r="J69" s="10"/>
      <c r="K69" s="17" t="s">
        <v>69</v>
      </c>
      <c r="L69" s="15">
        <f>IF(L68="","",(L68-1)*100/6)</f>
        <v>72.222222222222214</v>
      </c>
      <c r="M69" s="15">
        <f>IF(M68="","",(M68-1)*100/6)</f>
        <v>77.777777777777786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1</v>
      </c>
      <c r="G70" s="10"/>
      <c r="H70" s="15">
        <f>IF(E70="","",IF(D70="Sì", 8-E70, E70))</f>
        <v>6</v>
      </c>
      <c r="I70" s="15">
        <f t="shared" si="5"/>
        <v>7</v>
      </c>
      <c r="J70" s="10"/>
      <c r="K70" s="17" t="s">
        <v>72</v>
      </c>
      <c r="L70" s="15">
        <f>IFERROR(SUM(H68:H70),"")</f>
        <v>16</v>
      </c>
      <c r="M70" s="15">
        <f>IFERROR(SUM(I68:I70),"")</f>
        <v>17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5</v>
      </c>
      <c r="G78" s="10"/>
      <c r="H78" s="15">
        <f t="shared" ref="H78:H83" si="6">IF(E78="","",IF(D78="Sì", 8-E78, E78))</f>
        <v>3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2</v>
      </c>
      <c r="M78" s="15">
        <f>IFERROR(AVERAGEIF(I78:I83,"&lt;&gt;"),"")</f>
        <v>3.8333333333333335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5</v>
      </c>
      <c r="G79" s="10"/>
      <c r="H79" s="15">
        <f t="shared" si="6"/>
        <v>2</v>
      </c>
      <c r="I79" s="15">
        <f t="shared" ref="I79:I83" si="7">IF(F79="","",IF(D79="Sì", 8-F79, F79))</f>
        <v>5</v>
      </c>
      <c r="J79" s="10"/>
      <c r="K79" s="17" t="s">
        <v>69</v>
      </c>
      <c r="L79" s="15">
        <f>IF(L78="","",(L78-1)*100/6)</f>
        <v>16.666666666666668</v>
      </c>
      <c r="M79" s="15">
        <f>IF(M78="","",(M78-1)*100/6)</f>
        <v>47.222222222222229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2</v>
      </c>
      <c r="F80" s="15">
        <v>5</v>
      </c>
      <c r="G80" s="10"/>
      <c r="H80" s="15">
        <f t="shared" si="6"/>
        <v>2</v>
      </c>
      <c r="I80" s="15">
        <f t="shared" si="7"/>
        <v>5</v>
      </c>
      <c r="J80" s="10"/>
      <c r="K80" s="17" t="s">
        <v>72</v>
      </c>
      <c r="L80" s="15">
        <f>IFERROR(SUM(H78:H83),"")</f>
        <v>12</v>
      </c>
      <c r="M80" s="15">
        <f>IFERROR(SUM(I78:I83),"")</f>
        <v>23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2</v>
      </c>
      <c r="G81" s="10"/>
      <c r="H81" s="15">
        <f t="shared" si="6"/>
        <v>2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3</v>
      </c>
      <c r="G83" s="10"/>
      <c r="H83" s="15">
        <f t="shared" si="6"/>
        <v>2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5</v>
      </c>
      <c r="F91" s="15">
        <v>3</v>
      </c>
      <c r="G91" s="10"/>
      <c r="H91" s="15">
        <f>IF(E91="","",IF(D91="Sì", 8-E91, E91))</f>
        <v>5</v>
      </c>
      <c r="I91" s="15">
        <f>IF(F91="","",IF(D91="Sì", 8-F91, F91))</f>
        <v>3</v>
      </c>
      <c r="J91" s="10"/>
      <c r="K91" s="17" t="s">
        <v>66</v>
      </c>
      <c r="L91" s="15">
        <f>IFERROR(AVERAGEIF(H91:H95,"&lt;&gt;"),"")</f>
        <v>5.8</v>
      </c>
      <c r="M91" s="15">
        <f>IFERROR(AVERAGEIF(I91:I95,"&lt;&gt;"),"")</f>
        <v>5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2</v>
      </c>
      <c r="G92" s="10"/>
      <c r="H92" s="15">
        <f>IF(E92="","",IF(D92="Sì", 8-E92, E92))</f>
        <v>7</v>
      </c>
      <c r="I92" s="15">
        <f t="shared" ref="I92:I95" si="8">IF(F92="","",IF(D92="Sì", 8-F92, F92))</f>
        <v>6</v>
      </c>
      <c r="J92" s="10"/>
      <c r="K92" s="17" t="s">
        <v>69</v>
      </c>
      <c r="L92" s="15">
        <f>IF(L91="","",(L91-1)*100/6)</f>
        <v>80</v>
      </c>
      <c r="M92" s="15">
        <f>IF(M91="","",(M91-1)*100/6)</f>
        <v>66.666666666666671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2</v>
      </c>
      <c r="G93" s="10"/>
      <c r="H93" s="15">
        <f>IF(E93="","",IF(D93="Sì", 8-E93, E93))</f>
        <v>6</v>
      </c>
      <c r="I93" s="15">
        <f t="shared" si="8"/>
        <v>6</v>
      </c>
      <c r="J93" s="10"/>
      <c r="K93" s="17" t="s">
        <v>72</v>
      </c>
      <c r="L93" s="15">
        <f>IFERROR(SUM(H91:H95),"")</f>
        <v>29</v>
      </c>
      <c r="M93" s="15">
        <f>IFERROR(SUM(I91:I95),"")</f>
        <v>25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4</v>
      </c>
      <c r="G94" s="10"/>
      <c r="H94" s="15">
        <f>IF(E94="","",IF(D94="Sì", 8-E94, E94))</f>
        <v>5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2</v>
      </c>
      <c r="G95" s="10"/>
      <c r="H95" s="15">
        <f>IF(E95="","",IF(D95="Sì", 8-E95, E95))</f>
        <v>6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5</v>
      </c>
      <c r="F103" s="15"/>
      <c r="G103" s="10"/>
      <c r="H103" s="15">
        <f>IF(E103="","",IF(D103="Sì", 8-E103, E103))</f>
        <v>5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5.2</v>
      </c>
      <c r="M103" s="15">
        <f>IFERROR(AVERAGEIF(I103:I107,"&lt;&gt;"),"")</f>
        <v>2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6</v>
      </c>
      <c r="F104" s="15"/>
      <c r="G104" s="10"/>
      <c r="H104" s="15">
        <f>IF(E104="","",IF(D104="Sì", 8-E104, E104))</f>
        <v>6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70</v>
      </c>
      <c r="M104" s="15">
        <f>IF(M103="","",(M103-1)*100/6)</f>
        <v>16.666666666666668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26</v>
      </c>
      <c r="M105" s="15">
        <f>IFERROR(SUM(I103:I107),"")</f>
        <v>2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2</v>
      </c>
      <c r="F107" s="15">
        <v>2</v>
      </c>
      <c r="G107" s="10"/>
      <c r="H107" s="15">
        <f>IF(E107="","",IF(D107="Sì", 8-E107, E107))</f>
        <v>2</v>
      </c>
      <c r="I107" s="15">
        <f>IF(F107="","",IF(D107="Sì", 8-F107, F107))</f>
        <v>2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3</v>
      </c>
      <c r="F115" s="15">
        <v>2</v>
      </c>
      <c r="G115" s="10"/>
      <c r="H115" s="15">
        <f>IF(E115="","",IF(D115="Sì", 8-E115, E115))</f>
        <v>5</v>
      </c>
      <c r="I115" s="15">
        <f>IF(F115="","",IF(D115="Sì", 8-F115, F115))</f>
        <v>6</v>
      </c>
      <c r="J115" s="10"/>
      <c r="K115" s="17" t="s">
        <v>66</v>
      </c>
      <c r="L115" s="15">
        <f>IFERROR(AVERAGEIF(H115:H118,"&lt;&gt;"),"")</f>
        <v>5</v>
      </c>
      <c r="M115" s="15">
        <f>IFERROR(AVERAGEIF(I115:I118,"&lt;&gt;"),"")</f>
        <v>6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3</v>
      </c>
      <c r="F116" s="15">
        <v>5</v>
      </c>
      <c r="G116" s="10"/>
      <c r="H116" s="15">
        <f>IF(E116="","",IF(D116="Sì", 8-E116, E116))</f>
        <v>3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66.666666666666671</v>
      </c>
      <c r="M116" s="15">
        <f>IF(M115="","",(M115-1)*100/6)</f>
        <v>83.333333333333329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20</v>
      </c>
      <c r="M117" s="15">
        <f>IFERROR(SUM(I115:I118),"")</f>
        <v>24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6</v>
      </c>
      <c r="G118" s="10"/>
      <c r="H118" s="15">
        <f>IF(E118="","",IF(D118="Sì", 8-E118, E118))</f>
        <v>5</v>
      </c>
      <c r="I118" s="15">
        <f>IF(F118="","",IF(D118="Sì", 8-F118, F118))</f>
        <v>6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 t="s">
        <v>258</v>
      </c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2</v>
      </c>
      <c r="F127" s="15"/>
      <c r="G127" s="10"/>
      <c r="H127" s="15">
        <f>IF(E127="","",IF(D127="Sì", 8-E127, E127))</f>
        <v>6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55.55555555555555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5</v>
      </c>
      <c r="F128" s="15"/>
      <c r="G128" s="10"/>
      <c r="H128" s="15">
        <f>IF(E128="","",IF(D128="Sì", 8-E128, E128))</f>
        <v>5</v>
      </c>
      <c r="I128" s="15" t="str">
        <f t="shared" si="11"/>
        <v/>
      </c>
      <c r="J128" s="10"/>
      <c r="K128" s="17" t="s">
        <v>72</v>
      </c>
      <c r="L128" s="15">
        <f>IFERROR(SUM(H126:H128),"")</f>
        <v>13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5</v>
      </c>
      <c r="G136" s="10"/>
      <c r="H136" s="15">
        <f>IF(E136="","",IF(D136="Sì", 8-E136, E136))</f>
        <v>5</v>
      </c>
      <c r="I136" s="15">
        <f>IF(F136="","",IF(D136="Sì", 8-F136, F136))</f>
        <v>5</v>
      </c>
      <c r="J136" s="10"/>
      <c r="K136" s="17" t="s">
        <v>66</v>
      </c>
      <c r="L136" s="15">
        <f>IFERROR(AVERAGEIF(H136:H137,"&lt;&gt;"),"")</f>
        <v>5</v>
      </c>
      <c r="M136" s="15">
        <f>IFERROR(AVERAGEIF(I136:I137,"&lt;&gt;"),"")</f>
        <v>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5</v>
      </c>
      <c r="F137" s="15">
        <v>5</v>
      </c>
      <c r="G137" s="10"/>
      <c r="H137" s="15">
        <f>IF(E137="","",IF(D137="Sì", 8-E137, E137))</f>
        <v>5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66.666666666666671</v>
      </c>
      <c r="M137" s="15">
        <f>IF(M136="","",(M136-1)*100/6)</f>
        <v>66.666666666666671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10</v>
      </c>
      <c r="M138" s="15">
        <f>IFERROR(SUM(I136:I137),"")</f>
        <v>10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5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38</v>
      </c>
      <c r="M158" s="15">
        <f>IFERROR(SUM(I158:I167),"")</f>
        <v>38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2</v>
      </c>
      <c r="F159" s="15">
        <v>1</v>
      </c>
      <c r="G159" s="10"/>
      <c r="H159" s="15">
        <f t="shared" si="13"/>
        <v>3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95</v>
      </c>
      <c r="M159" s="15">
        <f>IF(M158="","", M158*2.5 )</f>
        <v>95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2</v>
      </c>
      <c r="G161" s="10"/>
      <c r="H161" s="15">
        <f t="shared" si="13"/>
        <v>4</v>
      </c>
      <c r="I161" s="15">
        <f t="shared" si="14"/>
        <v>3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1</v>
      </c>
      <c r="G163" s="10"/>
      <c r="H163" s="15">
        <f t="shared" si="13"/>
        <v>3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2</v>
      </c>
      <c r="G165" s="10"/>
      <c r="H165" s="15">
        <f t="shared" si="13"/>
        <v>4</v>
      </c>
      <c r="I165" s="15">
        <f t="shared" si="14"/>
        <v>3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3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2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0.66666666666666663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2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2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260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81AD5B4F-7C4E-4BC7-B5D6-916E42486C8F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A324DF53-C061-4DAA-AC7E-EC033FEF6BA2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83A159E8-7BFF-4156-8729-8CD8CA8BA208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BD9673B3-3707-44AD-98AB-91B17B92161C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C89DF3EF-FAD2-45A4-BBB6-93E4FBE33714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FC3DAB19-C5BD-4335-BA7C-70D09921EB09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C6A0-D0E7-4344-84DD-ADF6CCB3F18C}">
  <dimension ref="B1:Q205"/>
  <sheetViews>
    <sheetView topLeftCell="B185" zoomScale="99" zoomScaleNormal="70" workbookViewId="0">
      <selection activeCell="Q47" sqref="Q47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7.109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261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24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253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253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253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253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2.9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31.666666666666668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29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1</v>
      </c>
      <c r="F22" s="5">
        <f t="shared" si="0"/>
        <v>1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1</v>
      </c>
      <c r="F24" s="5">
        <f t="shared" si="0"/>
        <v>1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6</v>
      </c>
      <c r="F27" s="5">
        <f t="shared" si="0"/>
        <v>6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5</v>
      </c>
      <c r="F28" s="5">
        <f t="shared" si="0"/>
        <v>5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6</v>
      </c>
      <c r="F29" s="5">
        <f t="shared" si="0"/>
        <v>2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6</v>
      </c>
      <c r="F38" s="15">
        <v>6</v>
      </c>
      <c r="G38" s="10"/>
      <c r="H38" s="15">
        <f t="shared" ref="H38:H47" si="1">IF(E38="","",IF(D38="Sì", 8-E38, E38))</f>
        <v>6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5.6</v>
      </c>
      <c r="M38" s="15">
        <f>IFERROR(AVERAGEIF(I38:I47,"&lt;&gt;"),"")</f>
        <v>5.8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76.666666666666657</v>
      </c>
      <c r="M39" s="15">
        <f>IF(M38="","",(M38-1)*100/6)</f>
        <v>80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5</v>
      </c>
      <c r="G40" s="10"/>
      <c r="H40" s="15">
        <f t="shared" si="1"/>
        <v>3</v>
      </c>
      <c r="I40" s="15">
        <f t="shared" si="2"/>
        <v>3</v>
      </c>
      <c r="J40" s="10"/>
      <c r="K40" s="17" t="s">
        <v>72</v>
      </c>
      <c r="L40" s="15">
        <f>IFERROR(SUM(H38:H47),"")</f>
        <v>56</v>
      </c>
      <c r="M40" s="15">
        <f>IFERROR(SUM(H38:H47),"")</f>
        <v>56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7</v>
      </c>
      <c r="G43" s="10"/>
      <c r="H43" s="15">
        <f t="shared" si="1"/>
        <v>5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7</v>
      </c>
      <c r="F44" s="15">
        <v>7</v>
      </c>
      <c r="G44" s="10"/>
      <c r="H44" s="15">
        <f t="shared" si="1"/>
        <v>7</v>
      </c>
      <c r="I44" s="15">
        <f t="shared" si="2"/>
        <v>7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5" t="s">
        <v>378</v>
      </c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6.333333333333333</v>
      </c>
      <c r="M55" s="15">
        <f>IFERROR(AVERAGEIF(I55:I60,"&lt;&gt;"),"")</f>
        <v>6.2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6</v>
      </c>
      <c r="G56" s="10"/>
      <c r="H56" s="15">
        <f t="shared" si="3"/>
        <v>6</v>
      </c>
      <c r="I56" s="15">
        <f t="shared" ref="I56:I60" si="4">IF(F56="","",IF(D56="Sì", 8-F56, F56))</f>
        <v>6</v>
      </c>
      <c r="J56" s="10"/>
      <c r="K56" s="17" t="s">
        <v>69</v>
      </c>
      <c r="L56" s="15">
        <f>IF(L55="","",(L55-1)*100/6)</f>
        <v>88.888888888888872</v>
      </c>
      <c r="M56" s="15">
        <f>IF(M55="","",(M55-1)*100/6)</f>
        <v>86.666666666666671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5</v>
      </c>
      <c r="G57" s="10"/>
      <c r="H57" s="15">
        <f t="shared" si="3"/>
        <v>6</v>
      </c>
      <c r="I57" s="15">
        <f t="shared" si="4"/>
        <v>5</v>
      </c>
      <c r="J57" s="10"/>
      <c r="K57" s="17" t="s">
        <v>72</v>
      </c>
      <c r="L57" s="15">
        <f>IFERROR(SUM(H55:H60),"")</f>
        <v>38</v>
      </c>
      <c r="M57" s="15">
        <f>IFERROR(SUM(I55:I60),"")</f>
        <v>31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1</v>
      </c>
      <c r="F58" s="15">
        <v>2</v>
      </c>
      <c r="G58" s="10"/>
      <c r="H58" s="15">
        <f t="shared" si="3"/>
        <v>7</v>
      </c>
      <c r="I58" s="15">
        <f t="shared" si="4"/>
        <v>6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6</v>
      </c>
      <c r="F68" s="15">
        <v>7</v>
      </c>
      <c r="G68" s="10"/>
      <c r="H68" s="15">
        <f>IF(E68="","",IF(D68="Sì", 8-E68, E68))</f>
        <v>6</v>
      </c>
      <c r="I68" s="15">
        <f>IF(F68="","",IF(D68="Sì", 8-F68, F68))</f>
        <v>7</v>
      </c>
      <c r="J68" s="10"/>
      <c r="K68" s="17" t="s">
        <v>66</v>
      </c>
      <c r="L68" s="15">
        <f>IFERROR(AVERAGEIF(H68:H70,"&lt;&gt;"),"")</f>
        <v>6.666666666666667</v>
      </c>
      <c r="M68" s="15">
        <f>IFERROR(AVERAGEIF(I68:I70,"&lt;&gt;"),"")</f>
        <v>7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7</v>
      </c>
      <c r="F69" s="15">
        <v>7</v>
      </c>
      <c r="G69" s="10"/>
      <c r="H69" s="15">
        <f>IF(E69="","",IF(D69="Sì", 8-E69, E69))</f>
        <v>7</v>
      </c>
      <c r="I69" s="15">
        <f t="shared" ref="I69:I70" si="5">IF(F69="","",IF(D69="Sì", 8-F69, F69))</f>
        <v>7</v>
      </c>
      <c r="J69" s="10"/>
      <c r="K69" s="17" t="s">
        <v>69</v>
      </c>
      <c r="L69" s="15">
        <f>IF(L68="","",(L68-1)*100/6)</f>
        <v>94.444444444444457</v>
      </c>
      <c r="M69" s="15">
        <f>IF(M68="","",(M68-1)*100/6)</f>
        <v>100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20</v>
      </c>
      <c r="M70" s="15">
        <f>IFERROR(SUM(I68:I70),"")</f>
        <v>21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2</v>
      </c>
      <c r="F78" s="15">
        <v>2</v>
      </c>
      <c r="G78" s="10"/>
      <c r="H78" s="15">
        <f t="shared" ref="H78:H83" si="6">IF(E78="","",IF(D78="Sì", 8-E78, E78))</f>
        <v>2</v>
      </c>
      <c r="I78" s="15">
        <f>IF(F78="","",IF(D78="Sì", 8-F78, F78))</f>
        <v>2</v>
      </c>
      <c r="J78" s="10"/>
      <c r="K78" s="17" t="s">
        <v>66</v>
      </c>
      <c r="L78" s="15">
        <f>IFERROR(AVERAGEIF(H78:H83,"&lt;&gt;"),"")</f>
        <v>2.5</v>
      </c>
      <c r="M78" s="15">
        <f>IFERROR(AVERAGEIF(I78:I83,"&lt;&gt;"),"")</f>
        <v>2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2</v>
      </c>
      <c r="G79" s="10"/>
      <c r="H79" s="15">
        <f t="shared" si="6"/>
        <v>2</v>
      </c>
      <c r="I79" s="15">
        <f t="shared" ref="I79:I83" si="7">IF(F79="","",IF(D79="Sì", 8-F79, F79))</f>
        <v>2</v>
      </c>
      <c r="J79" s="10"/>
      <c r="K79" s="17" t="s">
        <v>69</v>
      </c>
      <c r="L79" s="15">
        <f>IF(L78="","",(L78-1)*100/6)</f>
        <v>25</v>
      </c>
      <c r="M79" s="15">
        <f>IF(M78="","",(M78-1)*100/6)</f>
        <v>16.666666666666668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5</v>
      </c>
      <c r="F80" s="15">
        <v>4</v>
      </c>
      <c r="G80" s="10"/>
      <c r="H80" s="15">
        <f t="shared" si="6"/>
        <v>5</v>
      </c>
      <c r="I80" s="15">
        <f t="shared" si="7"/>
        <v>4</v>
      </c>
      <c r="J80" s="10"/>
      <c r="K80" s="17" t="s">
        <v>72</v>
      </c>
      <c r="L80" s="15">
        <f>IFERROR(SUM(H78:H83),"")</f>
        <v>15</v>
      </c>
      <c r="M80" s="15">
        <f>IFERROR(SUM(I78:I83),"")</f>
        <v>12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1</v>
      </c>
      <c r="G81" s="10"/>
      <c r="H81" s="15">
        <f t="shared" si="6"/>
        <v>2</v>
      </c>
      <c r="I81" s="15">
        <f t="shared" si="7"/>
        <v>1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5</v>
      </c>
      <c r="F83" s="15">
        <v>6</v>
      </c>
      <c r="G83" s="10"/>
      <c r="H83" s="15">
        <f t="shared" si="6"/>
        <v>3</v>
      </c>
      <c r="I83" s="15">
        <f t="shared" si="7"/>
        <v>2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6</v>
      </c>
      <c r="G91" s="10"/>
      <c r="H91" s="15">
        <f>IF(E91="","",IF(D91="Sì", 8-E91, E91))</f>
        <v>7</v>
      </c>
      <c r="I91" s="15">
        <f>IF(F91="","",IF(D91="Sì", 8-F91, F91))</f>
        <v>6</v>
      </c>
      <c r="J91" s="10"/>
      <c r="K91" s="17" t="s">
        <v>66</v>
      </c>
      <c r="L91" s="15">
        <f>IFERROR(AVERAGEIF(H91:H95,"&lt;&gt;"),"")</f>
        <v>6.6</v>
      </c>
      <c r="M91" s="15">
        <f>IFERROR(AVERAGEIF(I91:I95,"&lt;&gt;"),"")</f>
        <v>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3</v>
      </c>
      <c r="G92" s="10"/>
      <c r="H92" s="15">
        <f>IF(E92="","",IF(D92="Sì", 8-E92, E92))</f>
        <v>7</v>
      </c>
      <c r="I92" s="15">
        <f t="shared" ref="I92:I95" si="8">IF(F92="","",IF(D92="Sì", 8-F92, F92))</f>
        <v>5</v>
      </c>
      <c r="J92" s="10"/>
      <c r="K92" s="17" t="s">
        <v>69</v>
      </c>
      <c r="L92" s="15">
        <f>IF(L91="","",(L91-1)*100/6)</f>
        <v>93.333333333333329</v>
      </c>
      <c r="M92" s="15">
        <f>IF(M91="","",(M91-1)*100/6)</f>
        <v>83.333333333333329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1</v>
      </c>
      <c r="G93" s="10"/>
      <c r="H93" s="15">
        <f>IF(E93="","",IF(D93="Sì", 8-E93, E93))</f>
        <v>7</v>
      </c>
      <c r="I93" s="15">
        <f t="shared" si="8"/>
        <v>7</v>
      </c>
      <c r="J93" s="10"/>
      <c r="K93" s="17" t="s">
        <v>72</v>
      </c>
      <c r="L93" s="15">
        <f>IFERROR(SUM(H91:H95),"")</f>
        <v>33</v>
      </c>
      <c r="M93" s="15">
        <f>IFERROR(SUM(I91:I95),"")</f>
        <v>30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5</v>
      </c>
      <c r="G94" s="10"/>
      <c r="H94" s="15">
        <f>IF(E94="","",IF(D94="Sì", 8-E94, E94))</f>
        <v>5</v>
      </c>
      <c r="I94" s="15">
        <f t="shared" si="8"/>
        <v>5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6.4</v>
      </c>
      <c r="M103" s="15">
        <f>IFERROR(AVERAGEIF(I103:I107,"&lt;&gt;"),"")</f>
        <v>6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6</v>
      </c>
      <c r="F104" s="15"/>
      <c r="G104" s="10"/>
      <c r="H104" s="15">
        <f>IF(E104="","",IF(D104="Sì", 8-E104, E104))</f>
        <v>6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90</v>
      </c>
      <c r="M104" s="15">
        <f>IF(M103="","",(M103-1)*100/6)</f>
        <v>83.333333333333329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32</v>
      </c>
      <c r="M105" s="15">
        <f>IFERROR(SUM(I103:I107),"")</f>
        <v>6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6</v>
      </c>
      <c r="F107" s="15">
        <v>6</v>
      </c>
      <c r="G107" s="10"/>
      <c r="H107" s="15">
        <f>IF(E107="","",IF(D107="Sì", 8-E107, E107))</f>
        <v>6</v>
      </c>
      <c r="I107" s="15">
        <f>IF(F107="","",IF(D107="Sì", 8-F107, F107))</f>
        <v>6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5</v>
      </c>
      <c r="G115" s="10"/>
      <c r="H115" s="15">
        <f>IF(E115="","",IF(D115="Sì", 8-E115, E115))</f>
        <v>7</v>
      </c>
      <c r="I115" s="15">
        <f>IF(F115="","",IF(D115="Sì", 8-F115, F115))</f>
        <v>3</v>
      </c>
      <c r="J115" s="10"/>
      <c r="K115" s="17" t="s">
        <v>66</v>
      </c>
      <c r="L115" s="15">
        <f>IFERROR(AVERAGEIF(H115:H118,"&lt;&gt;"),"")</f>
        <v>6</v>
      </c>
      <c r="M115" s="15">
        <f>IFERROR(AVERAGEIF(I115:I118,"&lt;&gt;"),"")</f>
        <v>5.25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5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83.333333333333329</v>
      </c>
      <c r="M116" s="15">
        <f>IF(M115="","",(M115-1)*100/6)</f>
        <v>70.833333333333329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2</v>
      </c>
      <c r="G117" s="10"/>
      <c r="H117" s="15">
        <f>IF(E117="","",IF(D117="Sì", 8-E117, E117))</f>
        <v>6</v>
      </c>
      <c r="I117" s="15">
        <f t="shared" si="10"/>
        <v>6</v>
      </c>
      <c r="J117" s="10"/>
      <c r="K117" s="17" t="s">
        <v>72</v>
      </c>
      <c r="L117" s="15">
        <f>IFERROR(SUM(H115:H118),"")</f>
        <v>24</v>
      </c>
      <c r="M117" s="15">
        <f>IFERROR(SUM(I115:I118),"")</f>
        <v>21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7</v>
      </c>
      <c r="G118" s="10"/>
      <c r="H118" s="15">
        <f>IF(E118="","",IF(D118="Sì", 8-E118, E118))</f>
        <v>5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3</v>
      </c>
      <c r="F126" s="15"/>
      <c r="G126" s="10"/>
      <c r="H126" s="15">
        <f>IF(E126="","",IF(D126="Sì", 8-E126, E126))</f>
        <v>3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77.777777777777786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17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7</v>
      </c>
      <c r="G136" s="10"/>
      <c r="H136" s="15">
        <f>IF(E136="","",IF(D136="Sì", 8-E136, E136))</f>
        <v>7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7</v>
      </c>
      <c r="M136" s="15">
        <f>IFERROR(AVERAGEIF(I136:I137,"&lt;&gt;"),"")</f>
        <v>6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7</v>
      </c>
      <c r="F137" s="15">
        <v>5</v>
      </c>
      <c r="G137" s="10"/>
      <c r="H137" s="15">
        <f>IF(E137="","",IF(D137="Sì", 8-E137, E137))</f>
        <v>7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100</v>
      </c>
      <c r="M137" s="15">
        <f>IF(M136="","",(M136-1)*100/6)</f>
        <v>83.333333333333329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14</v>
      </c>
      <c r="M138" s="15">
        <f>IFERROR(SUM(I136:I137),"")</f>
        <v>12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4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34</v>
      </c>
      <c r="M158" s="15">
        <f>IFERROR(SUM(I158:I167),"")</f>
        <v>38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85</v>
      </c>
      <c r="M159" s="15">
        <f>IF(M158="","", M158*2.5 )</f>
        <v>95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4</v>
      </c>
      <c r="F161" s="15">
        <v>1</v>
      </c>
      <c r="G161" s="10"/>
      <c r="H161" s="15">
        <f t="shared" si="13"/>
        <v>1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4</v>
      </c>
      <c r="F164" s="15">
        <v>5</v>
      </c>
      <c r="G164" s="10"/>
      <c r="H164" s="15">
        <f t="shared" si="13"/>
        <v>3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2</v>
      </c>
      <c r="G165" s="10"/>
      <c r="H165" s="15">
        <f t="shared" si="13"/>
        <v>4</v>
      </c>
      <c r="I165" s="15">
        <f t="shared" si="14"/>
        <v>3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 t="s">
        <v>262</v>
      </c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 t="s">
        <v>263</v>
      </c>
      <c r="F193" s="25"/>
    </row>
    <row r="194" spans="2:7" ht="28.8" x14ac:dyDescent="0.3">
      <c r="B194" s="25" t="s">
        <v>237</v>
      </c>
      <c r="C194" s="27" t="s">
        <v>238</v>
      </c>
      <c r="D194" s="22"/>
      <c r="E194" s="25" t="s">
        <v>264</v>
      </c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FE78A849-FC31-4845-A83C-3B1B6603ADF4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1DD941BF-2699-4C7A-9B3F-34C451A46595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51F954A6-FAA7-43AD-9F94-055AEDAE4DCE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13CA7604-A4AC-4247-8A2E-8B69C23A75DA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23D5BF48-0DA4-4C43-84A0-8852CDE33AD3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1FD7ED8A-D69A-4C44-B757-BCD87F323A98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0EF0-8D77-4F1C-B6D3-32F79BFD3D9C}">
  <dimension ref="B1:Q205"/>
  <sheetViews>
    <sheetView topLeftCell="B182" zoomScale="102" zoomScaleNormal="40" workbookViewId="0">
      <selection activeCell="D195" sqref="D195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12.441406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265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26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3.3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38.333333333333329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33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6</v>
      </c>
      <c r="F22" s="5">
        <f t="shared" si="0"/>
        <v>6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7</v>
      </c>
      <c r="F24" s="5">
        <f t="shared" si="0"/>
        <v>7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1</v>
      </c>
      <c r="F27" s="5">
        <f t="shared" si="0"/>
        <v>1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3</v>
      </c>
      <c r="F28" s="5">
        <f t="shared" si="0"/>
        <v>3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6</v>
      </c>
      <c r="F29" s="5">
        <f t="shared" si="0"/>
        <v>2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6</v>
      </c>
      <c r="F38" s="15">
        <v>6</v>
      </c>
      <c r="G38" s="10"/>
      <c r="H38" s="15">
        <f t="shared" ref="H38:H47" si="1">IF(E38="","",IF(D38="Sì", 8-E38, E38))</f>
        <v>6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6.2</v>
      </c>
      <c r="M38" s="15">
        <f>IFERROR(AVERAGEIF(I38:I47,"&lt;&gt;"),"")</f>
        <v>6.2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7</v>
      </c>
      <c r="F39" s="15">
        <v>7</v>
      </c>
      <c r="G39" s="10"/>
      <c r="H39" s="15">
        <f t="shared" si="1"/>
        <v>7</v>
      </c>
      <c r="I39" s="15">
        <f t="shared" si="2"/>
        <v>7</v>
      </c>
      <c r="J39" s="10"/>
      <c r="K39" s="17" t="s">
        <v>69</v>
      </c>
      <c r="L39" s="15">
        <f>IF(L38="","",(L38-1)*100/6)</f>
        <v>86.666666666666671</v>
      </c>
      <c r="M39" s="15">
        <f>IF(M38="","",(M38-1)*100/6)</f>
        <v>86.666666666666671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1</v>
      </c>
      <c r="F40" s="15">
        <v>1</v>
      </c>
      <c r="G40" s="10"/>
      <c r="H40" s="15">
        <f t="shared" si="1"/>
        <v>7</v>
      </c>
      <c r="I40" s="15">
        <f t="shared" si="2"/>
        <v>7</v>
      </c>
      <c r="J40" s="10"/>
      <c r="K40" s="17" t="s">
        <v>72</v>
      </c>
      <c r="L40" s="15">
        <f>IFERROR(SUM(H38:H47),"")</f>
        <v>62</v>
      </c>
      <c r="M40" s="15">
        <f>IFERROR(SUM(H38:H47),"")</f>
        <v>62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7</v>
      </c>
      <c r="F42" s="15">
        <v>7</v>
      </c>
      <c r="G42" s="10"/>
      <c r="H42" s="15">
        <f t="shared" si="1"/>
        <v>7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7</v>
      </c>
      <c r="F43" s="15">
        <v>7</v>
      </c>
      <c r="G43" s="10"/>
      <c r="H43" s="15">
        <f t="shared" si="1"/>
        <v>7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6</v>
      </c>
      <c r="F44" s="15">
        <v>6</v>
      </c>
      <c r="G44" s="10"/>
      <c r="H44" s="15">
        <f t="shared" si="1"/>
        <v>6</v>
      </c>
      <c r="I44" s="15">
        <f t="shared" si="2"/>
        <v>6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2</v>
      </c>
      <c r="F47" s="15">
        <v>2</v>
      </c>
      <c r="G47" s="10"/>
      <c r="H47" s="15">
        <f t="shared" si="1"/>
        <v>2</v>
      </c>
      <c r="I47" s="15">
        <f t="shared" si="2"/>
        <v>2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5.833333333333333</v>
      </c>
      <c r="M55" s="15">
        <f>IFERROR(AVERAGEIF(I55:I60,"&lt;&gt;"),"")</f>
        <v>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5</v>
      </c>
      <c r="F56" s="15">
        <v>5</v>
      </c>
      <c r="G56" s="10"/>
      <c r="H56" s="15">
        <f t="shared" si="3"/>
        <v>5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80.555555555555557</v>
      </c>
      <c r="M56" s="15">
        <f>IF(M55="","",(M55-1)*100/6)</f>
        <v>83.333333333333329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5</v>
      </c>
      <c r="F57" s="15">
        <v>4</v>
      </c>
      <c r="G57" s="10"/>
      <c r="H57" s="15">
        <f t="shared" si="3"/>
        <v>5</v>
      </c>
      <c r="I57" s="15">
        <f t="shared" si="4"/>
        <v>4</v>
      </c>
      <c r="J57" s="10"/>
      <c r="K57" s="17" t="s">
        <v>72</v>
      </c>
      <c r="L57" s="15">
        <f>IFERROR(SUM(H55:H60),"")</f>
        <v>35</v>
      </c>
      <c r="M57" s="15">
        <f>IFERROR(SUM(I55:I60),"")</f>
        <v>30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2</v>
      </c>
      <c r="F58" s="15">
        <v>1</v>
      </c>
      <c r="G58" s="10"/>
      <c r="H58" s="15">
        <f t="shared" si="3"/>
        <v>6</v>
      </c>
      <c r="I58" s="15">
        <f t="shared" si="4"/>
        <v>7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7</v>
      </c>
      <c r="G59" s="10"/>
      <c r="H59" s="15">
        <f t="shared" si="3"/>
        <v>6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1</v>
      </c>
      <c r="F68" s="15">
        <v>1</v>
      </c>
      <c r="G68" s="10"/>
      <c r="H68" s="15">
        <f>IF(E68="","",IF(D68="Sì", 8-E68, E68))</f>
        <v>1</v>
      </c>
      <c r="I68" s="15">
        <f>IF(F68="","",IF(D68="Sì", 8-F68, F68))</f>
        <v>1</v>
      </c>
      <c r="J68" s="10"/>
      <c r="K68" s="17" t="s">
        <v>66</v>
      </c>
      <c r="L68" s="15">
        <f>IFERROR(AVERAGEIF(H68:H70,"&lt;&gt;"),"")</f>
        <v>3</v>
      </c>
      <c r="M68" s="15">
        <f>IFERROR(AVERAGEIF(I68:I70,"&lt;&gt;"),"")</f>
        <v>3.3333333333333335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1</v>
      </c>
      <c r="F69" s="15">
        <v>2</v>
      </c>
      <c r="G69" s="10"/>
      <c r="H69" s="15">
        <f>IF(E69="","",IF(D69="Sì", 8-E69, E69))</f>
        <v>1</v>
      </c>
      <c r="I69" s="15">
        <f t="shared" ref="I69:I70" si="5">IF(F69="","",IF(D69="Sì", 8-F69, F69))</f>
        <v>2</v>
      </c>
      <c r="J69" s="10"/>
      <c r="K69" s="17" t="s">
        <v>69</v>
      </c>
      <c r="L69" s="15">
        <f>IF(L68="","",(L68-1)*100/6)</f>
        <v>33.333333333333336</v>
      </c>
      <c r="M69" s="15">
        <f>IF(M68="","",(M68-1)*100/6)</f>
        <v>38.888888888888893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9</v>
      </c>
      <c r="M70" s="15">
        <f>IFERROR(SUM(I68:I70),"")</f>
        <v>10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6</v>
      </c>
      <c r="G78" s="10"/>
      <c r="H78" s="15">
        <f t="shared" ref="H78:H83" si="6">IF(E78="","",IF(D78="Sì", 8-E78, E78))</f>
        <v>1</v>
      </c>
      <c r="I78" s="15">
        <f>IF(F78="","",IF(D78="Sì", 8-F78, F78))</f>
        <v>6</v>
      </c>
      <c r="J78" s="10"/>
      <c r="K78" s="17" t="s">
        <v>66</v>
      </c>
      <c r="L78" s="15">
        <f>IFERROR(AVERAGEIF(H78:H83,"&lt;&gt;"),"")</f>
        <v>1.5</v>
      </c>
      <c r="M78" s="15">
        <f>IFERROR(AVERAGEIF(I78:I83,"&lt;&gt;"),"")</f>
        <v>5.5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6</v>
      </c>
      <c r="G79" s="10"/>
      <c r="H79" s="15">
        <f t="shared" si="6"/>
        <v>2</v>
      </c>
      <c r="I79" s="15">
        <f t="shared" ref="I79:I83" si="7">IF(F79="","",IF(D79="Sì", 8-F79, F79))</f>
        <v>6</v>
      </c>
      <c r="J79" s="10"/>
      <c r="K79" s="17" t="s">
        <v>69</v>
      </c>
      <c r="L79" s="15">
        <f>IF(L78="","",(L78-1)*100/6)</f>
        <v>8.3333333333333339</v>
      </c>
      <c r="M79" s="15">
        <f>IF(M78="","",(M78-1)*100/6)</f>
        <v>75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2</v>
      </c>
      <c r="F80" s="15">
        <v>5</v>
      </c>
      <c r="G80" s="10"/>
      <c r="H80" s="15">
        <f t="shared" si="6"/>
        <v>2</v>
      </c>
      <c r="I80" s="15">
        <f t="shared" si="7"/>
        <v>5</v>
      </c>
      <c r="J80" s="10"/>
      <c r="K80" s="17" t="s">
        <v>72</v>
      </c>
      <c r="L80" s="15">
        <f>IFERROR(SUM(H78:H83),"")</f>
        <v>9</v>
      </c>
      <c r="M80" s="15">
        <f>IFERROR(SUM(I78:I83),"")</f>
        <v>33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5</v>
      </c>
      <c r="G81" s="10"/>
      <c r="H81" s="15">
        <f t="shared" si="6"/>
        <v>2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5</v>
      </c>
      <c r="G82" s="10"/>
      <c r="H82" s="15">
        <f t="shared" si="6"/>
        <v>1</v>
      </c>
      <c r="I82" s="15">
        <f t="shared" si="7"/>
        <v>5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2</v>
      </c>
      <c r="G83" s="10"/>
      <c r="H83" s="15">
        <f t="shared" si="6"/>
        <v>1</v>
      </c>
      <c r="I83" s="15">
        <f t="shared" si="7"/>
        <v>6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6.4</v>
      </c>
      <c r="M91" s="15">
        <f>IFERROR(AVERAGEIF(I91:I95,"&lt;&gt;"),"")</f>
        <v>5.2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5</v>
      </c>
      <c r="G92" s="10"/>
      <c r="H92" s="15">
        <f>IF(E92="","",IF(D92="Sì", 8-E92, E92))</f>
        <v>7</v>
      </c>
      <c r="I92" s="15">
        <f t="shared" ref="I92:I95" si="8">IF(F92="","",IF(D92="Sì", 8-F92, F92))</f>
        <v>3</v>
      </c>
      <c r="J92" s="10"/>
      <c r="K92" s="17" t="s">
        <v>69</v>
      </c>
      <c r="L92" s="15">
        <f>IF(L91="","",(L91-1)*100/6)</f>
        <v>90</v>
      </c>
      <c r="M92" s="15">
        <f>IF(M91="","",(M91-1)*100/6)</f>
        <v>70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2</v>
      </c>
      <c r="G93" s="10"/>
      <c r="H93" s="15">
        <f>IF(E93="","",IF(D93="Sì", 8-E93, E93))</f>
        <v>7</v>
      </c>
      <c r="I93" s="15">
        <f t="shared" si="8"/>
        <v>6</v>
      </c>
      <c r="J93" s="10"/>
      <c r="K93" s="17" t="s">
        <v>72</v>
      </c>
      <c r="L93" s="15">
        <f>IFERROR(SUM(H91:H95),"")</f>
        <v>32</v>
      </c>
      <c r="M93" s="15">
        <f>IFERROR(SUM(I91:I95),"")</f>
        <v>26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3</v>
      </c>
      <c r="G94" s="10"/>
      <c r="H94" s="15">
        <f>IF(E94="","",IF(D94="Sì", 8-E94, E94))</f>
        <v>4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5.8</v>
      </c>
      <c r="M103" s="15">
        <f>IFERROR(AVERAGEIF(I103:I107,"&lt;&gt;"),"")</f>
        <v>6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7</v>
      </c>
      <c r="F104" s="15"/>
      <c r="G104" s="10"/>
      <c r="H104" s="15">
        <f>IF(E104="","",IF(D104="Sì", 8-E104, E104))</f>
        <v>7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80</v>
      </c>
      <c r="M104" s="15">
        <f>IF(M103="","",(M103-1)*100/6)</f>
        <v>83.333333333333329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29</v>
      </c>
      <c r="M105" s="15">
        <f>IFERROR(SUM(I103:I107),"")</f>
        <v>6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6</v>
      </c>
      <c r="G107" s="10"/>
      <c r="H107" s="15">
        <f>IF(E107="","",IF(D107="Sì", 8-E107, E107))</f>
        <v>3</v>
      </c>
      <c r="I107" s="15">
        <f>IF(F107="","",IF(D107="Sì", 8-F107, F107))</f>
        <v>6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3</v>
      </c>
      <c r="F115" s="15">
        <v>1</v>
      </c>
      <c r="G115" s="10"/>
      <c r="H115" s="15">
        <f>IF(E115="","",IF(D115="Sì", 8-E115, E115))</f>
        <v>5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5.25</v>
      </c>
      <c r="M115" s="15">
        <f>IFERROR(AVERAGEIF(I115:I118,"&lt;&gt;"),"")</f>
        <v>6.5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6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6</v>
      </c>
      <c r="J116" s="10"/>
      <c r="K116" s="17" t="s">
        <v>69</v>
      </c>
      <c r="L116" s="15">
        <f>IF(L115="","",(L115-1)*100/6)</f>
        <v>70.833333333333329</v>
      </c>
      <c r="M116" s="15">
        <f>IF(M115="","",(M115-1)*100/6)</f>
        <v>91.666666666666671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5</v>
      </c>
      <c r="F117" s="15">
        <v>2</v>
      </c>
      <c r="G117" s="10"/>
      <c r="H117" s="15">
        <f>IF(E117="","",IF(D117="Sì", 8-E117, E117))</f>
        <v>3</v>
      </c>
      <c r="I117" s="15">
        <f t="shared" si="10"/>
        <v>6</v>
      </c>
      <c r="J117" s="10"/>
      <c r="K117" s="17" t="s">
        <v>72</v>
      </c>
      <c r="L117" s="15">
        <f>IFERROR(SUM(H115:H118),"")</f>
        <v>21</v>
      </c>
      <c r="M117" s="15">
        <f>IFERROR(SUM(I115:I118),"")</f>
        <v>26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72.222222222222214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16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6</v>
      </c>
      <c r="F136" s="15">
        <v>6</v>
      </c>
      <c r="G136" s="10"/>
      <c r="H136" s="15">
        <f>IF(E136="","",IF(D136="Sì", 8-E136, E136))</f>
        <v>6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5</v>
      </c>
      <c r="M136" s="15">
        <f>IFERROR(AVERAGEIF(I136:I137,"&lt;&gt;"),"")</f>
        <v>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4</v>
      </c>
      <c r="F137" s="15">
        <v>4</v>
      </c>
      <c r="G137" s="10"/>
      <c r="H137" s="15">
        <f>IF(E137="","",IF(D137="Sì", 8-E137, E137))</f>
        <v>4</v>
      </c>
      <c r="I137" s="15">
        <f>IF(F137="","",IF(D137="Sì", 8-F137, F137))</f>
        <v>4</v>
      </c>
      <c r="J137" s="10"/>
      <c r="K137" s="17" t="s">
        <v>69</v>
      </c>
      <c r="L137" s="15">
        <f>IF(L136="","",(L136-1)*100/6)</f>
        <v>66.666666666666671</v>
      </c>
      <c r="M137" s="15">
        <f>IF(M136="","",(M136-1)*100/6)</f>
        <v>66.666666666666671</v>
      </c>
    </row>
    <row r="138" spans="2:13" x14ac:dyDescent="0.3">
      <c r="B138" s="10"/>
      <c r="C138" s="10"/>
      <c r="D138" s="10"/>
      <c r="E138" s="10"/>
      <c r="F138" s="10" t="s">
        <v>266</v>
      </c>
      <c r="G138" s="10"/>
      <c r="H138" s="10"/>
      <c r="I138" s="10"/>
      <c r="J138" s="10"/>
      <c r="K138" s="17" t="s">
        <v>72</v>
      </c>
      <c r="L138" s="15">
        <f>IFERROR(SUM(H136:H137),"")</f>
        <v>10</v>
      </c>
      <c r="M138" s="15">
        <f>IFERROR(SUM(I136:I137),"")</f>
        <v>10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5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35</v>
      </c>
      <c r="M158" s="15">
        <f>IFERROR(SUM(I158:I167),"")</f>
        <v>34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87.5</v>
      </c>
      <c r="M159" s="15">
        <f>IF(M158="","", M158*2.5 )</f>
        <v>85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5</v>
      </c>
      <c r="G163" s="10"/>
      <c r="H163" s="15">
        <f t="shared" si="13"/>
        <v>4</v>
      </c>
      <c r="I163" s="15">
        <f t="shared" si="14"/>
        <v>0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2</v>
      </c>
      <c r="G165" s="10"/>
      <c r="H165" s="15">
        <f t="shared" si="13"/>
        <v>3</v>
      </c>
      <c r="I165" s="15">
        <f t="shared" si="14"/>
        <v>3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2</v>
      </c>
      <c r="F166" s="15">
        <v>4</v>
      </c>
      <c r="G166" s="10"/>
      <c r="H166" s="15">
        <f t="shared" si="13"/>
        <v>1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 t="s">
        <v>267</v>
      </c>
      <c r="F192" s="25"/>
    </row>
    <row r="193" spans="2:7" ht="28.8" x14ac:dyDescent="0.3">
      <c r="B193" s="25" t="s">
        <v>235</v>
      </c>
      <c r="C193" s="27" t="s">
        <v>236</v>
      </c>
      <c r="D193" s="22"/>
      <c r="E193" s="25" t="s">
        <v>268</v>
      </c>
      <c r="F193" s="25"/>
    </row>
    <row r="194" spans="2:7" ht="28.8" x14ac:dyDescent="0.3">
      <c r="B194" s="25" t="s">
        <v>237</v>
      </c>
      <c r="C194" s="27" t="s">
        <v>238</v>
      </c>
      <c r="D194" s="22"/>
      <c r="E194" s="25" t="s">
        <v>269</v>
      </c>
      <c r="F194" s="25"/>
    </row>
    <row r="195" spans="2:7" ht="28.8" x14ac:dyDescent="0.3">
      <c r="B195" s="25" t="s">
        <v>239</v>
      </c>
      <c r="C195" s="27" t="s">
        <v>240</v>
      </c>
      <c r="D195" s="22"/>
      <c r="E195" s="25" t="s">
        <v>270</v>
      </c>
      <c r="F195" s="25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144C377E-0BCF-4394-9CDD-0F5E5A74EFB5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A81F83CB-3814-44E2-ACC3-191D10150226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9AE3B96E-4062-41BE-8A0D-B77CDF251143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5329A718-BA2F-4A76-8E7C-C17B26AC89E6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F78:F83 E55:F60 E68:F70 E78:E84 E91:F95 E103:F107 E115:F118 E126:F128 E38:F47" xr:uid="{2791427D-48D9-47E1-B944-1819E2458773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F1350024-84F3-4F3F-AF85-B99AE3A8D00A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098-48DF-4EB9-9AAC-4D66AC0E816D}">
  <dimension ref="B1:Q205"/>
  <sheetViews>
    <sheetView topLeftCell="B185" zoomScale="109" zoomScaleNormal="55" workbookViewId="0">
      <selection activeCell="L78" sqref="L78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402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25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2.7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3</v>
      </c>
      <c r="F20" s="5">
        <f t="shared" ref="F20:F29" si="0">IF(E20="","",IF(D20="Sì", 8-E20, E20))</f>
        <v>3</v>
      </c>
      <c r="G20" s="5"/>
      <c r="H20" s="3"/>
      <c r="I20" s="9" t="s">
        <v>32</v>
      </c>
      <c r="J20" s="5">
        <f>IF(J19="","",( J19-1 )*100/6)</f>
        <v>28.333333333333339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2</v>
      </c>
      <c r="F21" s="5">
        <f t="shared" si="0"/>
        <v>2</v>
      </c>
      <c r="G21" s="5"/>
      <c r="H21" s="3"/>
      <c r="I21" s="9" t="s">
        <v>35</v>
      </c>
      <c r="J21" s="5">
        <f>IFERROR(SUM(F20:F29),"")</f>
        <v>27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4</v>
      </c>
      <c r="F22" s="5">
        <f t="shared" si="0"/>
        <v>4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2</v>
      </c>
      <c r="F24" s="5">
        <f t="shared" si="0"/>
        <v>2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1</v>
      </c>
      <c r="F26" s="5">
        <f t="shared" si="0"/>
        <v>1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1</v>
      </c>
      <c r="F27" s="5">
        <f t="shared" si="0"/>
        <v>1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7</v>
      </c>
      <c r="F28" s="5">
        <f t="shared" si="0"/>
        <v>7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3</v>
      </c>
      <c r="F29" s="5">
        <f t="shared" si="0"/>
        <v>5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7</v>
      </c>
      <c r="F38" s="15">
        <v>7</v>
      </c>
      <c r="G38" s="10"/>
      <c r="H38" s="15">
        <f t="shared" ref="H38:H47" si="1">IF(E38="","",IF(D38="Sì", 8-E38, E38))</f>
        <v>7</v>
      </c>
      <c r="I38" s="15">
        <f t="shared" ref="I38:I47" si="2">IF(F38="","",IF(D38="Sì", 8-F38, F38))</f>
        <v>7</v>
      </c>
      <c r="J38" s="10"/>
      <c r="K38" s="17" t="s">
        <v>66</v>
      </c>
      <c r="L38" s="15">
        <f>IFERROR(AVERAGEIF(H38:H47,"&lt;&gt;"),"")</f>
        <v>5.9</v>
      </c>
      <c r="M38" s="15">
        <f>IFERROR(AVERAGEIF(I38:I47,"&lt;&gt;"),"")</f>
        <v>6.3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7</v>
      </c>
      <c r="G39" s="10"/>
      <c r="H39" s="15">
        <f t="shared" si="1"/>
        <v>6</v>
      </c>
      <c r="I39" s="15">
        <f t="shared" si="2"/>
        <v>7</v>
      </c>
      <c r="J39" s="10"/>
      <c r="K39" s="17" t="s">
        <v>69</v>
      </c>
      <c r="L39" s="15">
        <f>IF(L38="","",(L38-1)*100/6)</f>
        <v>81.666666666666671</v>
      </c>
      <c r="M39" s="15">
        <f>IF(M38="","",(M38-1)*100/6)</f>
        <v>88.333333333333329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3</v>
      </c>
      <c r="F40" s="15">
        <v>2</v>
      </c>
      <c r="G40" s="10"/>
      <c r="H40" s="15">
        <f t="shared" si="1"/>
        <v>5</v>
      </c>
      <c r="I40" s="15">
        <f t="shared" si="2"/>
        <v>6</v>
      </c>
      <c r="J40" s="10"/>
      <c r="K40" s="17" t="s">
        <v>72</v>
      </c>
      <c r="L40" s="15">
        <f>IFERROR(SUM(H38:H47),"")</f>
        <v>59</v>
      </c>
      <c r="M40" s="15">
        <f>IFERROR(SUM(H38:H47),"")</f>
        <v>59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7</v>
      </c>
      <c r="G42" s="10"/>
      <c r="H42" s="15">
        <f t="shared" si="1"/>
        <v>6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7</v>
      </c>
      <c r="F43" s="15">
        <v>7</v>
      </c>
      <c r="G43" s="10"/>
      <c r="H43" s="15">
        <f t="shared" si="1"/>
        <v>7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4</v>
      </c>
      <c r="G44" s="10"/>
      <c r="H44" s="15">
        <f t="shared" si="1"/>
        <v>4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1</v>
      </c>
      <c r="F45" s="15">
        <v>1</v>
      </c>
      <c r="G45" s="10"/>
      <c r="H45" s="15">
        <f t="shared" si="1"/>
        <v>7</v>
      </c>
      <c r="I45" s="15">
        <f t="shared" si="2"/>
        <v>7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7</v>
      </c>
      <c r="F46" s="15">
        <v>7</v>
      </c>
      <c r="G46" s="10"/>
      <c r="H46" s="15">
        <f t="shared" si="1"/>
        <v>7</v>
      </c>
      <c r="I46" s="15">
        <f t="shared" si="2"/>
        <v>7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4</v>
      </c>
      <c r="G47" s="10"/>
      <c r="H47" s="15">
        <f t="shared" si="1"/>
        <v>3</v>
      </c>
      <c r="I47" s="15">
        <f t="shared" si="2"/>
        <v>4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6.666666666666667</v>
      </c>
      <c r="M55" s="15">
        <f>IFERROR(AVERAGEIF(I55:I60,"&lt;&gt;"),"")</f>
        <v>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5</v>
      </c>
      <c r="G56" s="10"/>
      <c r="H56" s="15">
        <f t="shared" si="3"/>
        <v>6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94.444444444444457</v>
      </c>
      <c r="M56" s="15">
        <f>IF(M55="","",(M55-1)*100/6)</f>
        <v>83.333333333333329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7</v>
      </c>
      <c r="G57" s="10"/>
      <c r="H57" s="15">
        <f t="shared" si="3"/>
        <v>7</v>
      </c>
      <c r="I57" s="15">
        <f t="shared" si="4"/>
        <v>7</v>
      </c>
      <c r="J57" s="10"/>
      <c r="K57" s="17" t="s">
        <v>72</v>
      </c>
      <c r="L57" s="15">
        <f>IFERROR(SUM(H55:H60),"")</f>
        <v>40</v>
      </c>
      <c r="M57" s="15">
        <f>IFERROR(SUM(I55:I60),"")</f>
        <v>30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1</v>
      </c>
      <c r="F58" s="15">
        <v>3</v>
      </c>
      <c r="G58" s="10"/>
      <c r="H58" s="15">
        <f t="shared" si="3"/>
        <v>7</v>
      </c>
      <c r="I58" s="15">
        <f t="shared" si="4"/>
        <v>5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6</v>
      </c>
      <c r="G59" s="10"/>
      <c r="H59" s="15">
        <f t="shared" si="3"/>
        <v>7</v>
      </c>
      <c r="I59" s="15">
        <f t="shared" si="4"/>
        <v>6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6</v>
      </c>
      <c r="F68" s="15">
        <v>7</v>
      </c>
      <c r="G68" s="10"/>
      <c r="H68" s="15">
        <f>IF(E68="","",IF(D68="Sì", 8-E68, E68))</f>
        <v>6</v>
      </c>
      <c r="I68" s="15">
        <f>IF(F68="","",IF(D68="Sì", 8-F68, F68))</f>
        <v>7</v>
      </c>
      <c r="J68" s="10"/>
      <c r="K68" s="17" t="s">
        <v>66</v>
      </c>
      <c r="L68" s="15">
        <f>IFERROR(AVERAGEIF(H68:H70,"&lt;&gt;"),"")</f>
        <v>6.666666666666667</v>
      </c>
      <c r="M68" s="15">
        <f>IFERROR(AVERAGEIF(I68:I70,"&lt;&gt;"),"")</f>
        <v>7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7</v>
      </c>
      <c r="F69" s="15">
        <v>7</v>
      </c>
      <c r="G69" s="10"/>
      <c r="H69" s="15">
        <f>IF(E69="","",IF(D69="Sì", 8-E69, E69))</f>
        <v>7</v>
      </c>
      <c r="I69" s="15">
        <f t="shared" ref="I69:I70" si="5">IF(F69="","",IF(D69="Sì", 8-F69, F69))</f>
        <v>7</v>
      </c>
      <c r="J69" s="10"/>
      <c r="K69" s="17" t="s">
        <v>69</v>
      </c>
      <c r="L69" s="15">
        <f>IF(L68="","",(L68-1)*100/6)</f>
        <v>94.444444444444457</v>
      </c>
      <c r="M69" s="15">
        <f>IF(M68="","",(M68-1)*100/6)</f>
        <v>100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20</v>
      </c>
      <c r="M70" s="15">
        <f>IFERROR(SUM(I68:I70),"")</f>
        <v>21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5</v>
      </c>
      <c r="G78" s="10"/>
      <c r="H78" s="15">
        <f t="shared" ref="H78:H83" si="6">IF(E78="","",IF(D78="Sì", 8-E78, E78))</f>
        <v>1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1</v>
      </c>
      <c r="M78" s="15">
        <f>IFERROR(AVERAGEIF(I78:I83,"&lt;&gt;"),"")</f>
        <v>4.333333333333333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1</v>
      </c>
      <c r="F79" s="15">
        <v>6</v>
      </c>
      <c r="G79" s="10"/>
      <c r="H79" s="15">
        <f t="shared" si="6"/>
        <v>1</v>
      </c>
      <c r="I79" s="15">
        <f t="shared" ref="I79:I83" si="7">IF(F79="","",IF(D79="Sì", 8-F79, F79))</f>
        <v>6</v>
      </c>
      <c r="J79" s="10"/>
      <c r="K79" s="17" t="s">
        <v>69</v>
      </c>
      <c r="L79" s="15">
        <f>IF(L78="","",(L78-1)*100/6)</f>
        <v>0</v>
      </c>
      <c r="M79" s="15">
        <f>IF(M78="","",(M78-1)*100/6)</f>
        <v>55.55555555555555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1</v>
      </c>
      <c r="F80" s="15">
        <v>7</v>
      </c>
      <c r="G80" s="10"/>
      <c r="H80" s="15">
        <f t="shared" si="6"/>
        <v>1</v>
      </c>
      <c r="I80" s="15">
        <f t="shared" si="7"/>
        <v>7</v>
      </c>
      <c r="J80" s="10"/>
      <c r="K80" s="17" t="s">
        <v>72</v>
      </c>
      <c r="L80" s="15">
        <f>IFERROR(SUM(H78:H83),"")</f>
        <v>6</v>
      </c>
      <c r="M80" s="15">
        <f>IFERROR(SUM(I78:I83),"")</f>
        <v>26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2</v>
      </c>
      <c r="G81" s="10"/>
      <c r="H81" s="15">
        <f t="shared" si="6"/>
        <v>1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3</v>
      </c>
      <c r="G83" s="10"/>
      <c r="H83" s="15">
        <f t="shared" si="6"/>
        <v>1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5</v>
      </c>
      <c r="G91" s="10"/>
      <c r="H91" s="15">
        <f>IF(E91="","",IF(D91="Sì", 8-E91, E91))</f>
        <v>7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6.2</v>
      </c>
      <c r="M91" s="15">
        <f>IFERROR(AVERAGEIF(I91:I95,"&lt;&gt;"),"")</f>
        <v>4.5999999999999996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5</v>
      </c>
      <c r="G92" s="10"/>
      <c r="H92" s="15">
        <f>IF(E92="","",IF(D92="Sì", 8-E92, E92))</f>
        <v>7</v>
      </c>
      <c r="I92" s="15">
        <f t="shared" ref="I92:I95" si="8">IF(F92="","",IF(D92="Sì", 8-F92, F92))</f>
        <v>3</v>
      </c>
      <c r="J92" s="10"/>
      <c r="K92" s="17" t="s">
        <v>69</v>
      </c>
      <c r="L92" s="15">
        <f>IF(L91="","",(L91-1)*100/6)</f>
        <v>86.666666666666671</v>
      </c>
      <c r="M92" s="15">
        <f>IF(M91="","",(M91-1)*100/6)</f>
        <v>59.999999999999993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5</v>
      </c>
      <c r="G93" s="10"/>
      <c r="H93" s="15">
        <f>IF(E93="","",IF(D93="Sì", 8-E93, E93))</f>
        <v>7</v>
      </c>
      <c r="I93" s="15">
        <f t="shared" si="8"/>
        <v>3</v>
      </c>
      <c r="J93" s="10"/>
      <c r="K93" s="17" t="s">
        <v>72</v>
      </c>
      <c r="L93" s="15">
        <f>IFERROR(SUM(H91:H95),"")</f>
        <v>31</v>
      </c>
      <c r="M93" s="15">
        <f>IFERROR(SUM(I91:I95),"")</f>
        <v>23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3</v>
      </c>
      <c r="F94" s="15">
        <v>5</v>
      </c>
      <c r="G94" s="10"/>
      <c r="H94" s="15">
        <f>IF(E94="","",IF(D94="Sì", 8-E94, E94))</f>
        <v>3</v>
      </c>
      <c r="I94" s="15">
        <f t="shared" si="8"/>
        <v>5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6.2</v>
      </c>
      <c r="M103" s="15">
        <f>IFERROR(AVERAGEIF(I103:I107,"&lt;&gt;"),"")</f>
        <v>6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7</v>
      </c>
      <c r="F104" s="15"/>
      <c r="G104" s="10"/>
      <c r="H104" s="15">
        <f>IF(E104="","",IF(D104="Sì", 8-E104, E104))</f>
        <v>7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86.666666666666671</v>
      </c>
      <c r="M104" s="15">
        <f>IF(M103="","",(M103-1)*100/6)</f>
        <v>83.333333333333329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31</v>
      </c>
      <c r="M105" s="15">
        <f>IFERROR(SUM(I103:I107),"")</f>
        <v>6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4</v>
      </c>
      <c r="F106" s="15"/>
      <c r="G106" s="10"/>
      <c r="H106" s="15">
        <f>IF(E106="","",IF(D106="Sì", 8-E106, E106))</f>
        <v>4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6</v>
      </c>
      <c r="F107" s="15">
        <v>6</v>
      </c>
      <c r="G107" s="10"/>
      <c r="H107" s="15">
        <f>IF(E107="","",IF(D107="Sì", 8-E107, E107))</f>
        <v>6</v>
      </c>
      <c r="I107" s="15">
        <f>IF(F107="","",IF(D107="Sì", 8-F107, F107))</f>
        <v>6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6.5</v>
      </c>
      <c r="M115" s="15">
        <f>IFERROR(AVERAGEIF(I115:I118,"&lt;&gt;"),"")</f>
        <v>6.5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6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6</v>
      </c>
      <c r="J116" s="10"/>
      <c r="K116" s="17" t="s">
        <v>69</v>
      </c>
      <c r="L116" s="15">
        <f>IF(L115="","",(L115-1)*100/6)</f>
        <v>91.666666666666671</v>
      </c>
      <c r="M116" s="15">
        <f>IF(M115="","",(M115-1)*100/6)</f>
        <v>91.666666666666671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26</v>
      </c>
      <c r="M117" s="15">
        <f>IFERROR(SUM(I115:I118),"")</f>
        <v>26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6</v>
      </c>
      <c r="F118" s="15">
        <v>6</v>
      </c>
      <c r="G118" s="10"/>
      <c r="H118" s="15">
        <f>IF(E118="","",IF(D118="Sì", 8-E118, E118))</f>
        <v>6</v>
      </c>
      <c r="I118" s="15">
        <f>IF(F118="","",IF(D118="Sì", 8-F118, F118))</f>
        <v>6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66.666666666666671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15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6</v>
      </c>
      <c r="F136" s="15">
        <v>7</v>
      </c>
      <c r="G136" s="10"/>
      <c r="H136" s="15">
        <f>IF(E136="","",IF(D136="Sì", 8-E136, E136))</f>
        <v>6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5</v>
      </c>
      <c r="M136" s="15">
        <f>IFERROR(AVERAGEIF(I136:I137,"&lt;&gt;"),"")</f>
        <v>5.5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4</v>
      </c>
      <c r="F137" s="15">
        <v>4</v>
      </c>
      <c r="G137" s="10"/>
      <c r="H137" s="15">
        <f>IF(E137="","",IF(D137="Sì", 8-E137, E137))</f>
        <v>4</v>
      </c>
      <c r="I137" s="15">
        <f>IF(F137="","",IF(D137="Sì", 8-F137, F137))</f>
        <v>4</v>
      </c>
      <c r="J137" s="10"/>
      <c r="K137" s="17" t="s">
        <v>69</v>
      </c>
      <c r="L137" s="15">
        <f>IF(L136="","",(L136-1)*100/6)</f>
        <v>66.666666666666671</v>
      </c>
      <c r="M137" s="15">
        <f>IF(M136="","",(M136-1)*100/6)</f>
        <v>75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10</v>
      </c>
      <c r="M138" s="15">
        <f>IFERROR(SUM(I136:I137),"")</f>
        <v>11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5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40</v>
      </c>
      <c r="M158" s="15">
        <f>IFERROR(SUM(I158:I167),"")</f>
        <v>40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100</v>
      </c>
      <c r="M159" s="15">
        <f>IF(M158="","", M158*2.5 )</f>
        <v>100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271</v>
      </c>
    </row>
    <row r="197" spans="2:7" x14ac:dyDescent="0.3">
      <c r="E197" s="2" t="s">
        <v>272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421F56B3-8421-4A17-B266-515B5352733B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935E624F-6568-43AC-82AA-CD9251894DAB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7F0148B1-258F-4404-81BF-A80423EF6A5D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BB3B479B-3BBD-4541-ADD5-28410C0EFB11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F78:F83 E55:F60 E68:F70 E78:E84 E91:F95 E103:F107 E115:F118 E126:F128 E38:F47" xr:uid="{BBBAF045-F999-44D4-B3B2-F7B5FD848171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7A40CF40-A514-427C-8891-D42F1094D0F1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23EE-4B48-4F11-8659-88BDC444592E}">
  <dimension ref="B1:Q205"/>
  <sheetViews>
    <sheetView topLeftCell="A187" zoomScaleNormal="40" workbookViewId="0">
      <selection activeCell="Q47" sqref="Q47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9.441406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273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24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1.8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1</v>
      </c>
      <c r="F20" s="5">
        <f t="shared" ref="F20:F29" si="0">IF(E20="","",IF(D20="Sì", 8-E20, E20))</f>
        <v>1</v>
      </c>
      <c r="G20" s="5"/>
      <c r="H20" s="3"/>
      <c r="I20" s="9" t="s">
        <v>32</v>
      </c>
      <c r="J20" s="5">
        <f>IF(J19="","",( J19-1 )*100/6)</f>
        <v>13.333333333333334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2</v>
      </c>
      <c r="F21" s="5">
        <f t="shared" si="0"/>
        <v>2</v>
      </c>
      <c r="G21" s="5"/>
      <c r="H21" s="3"/>
      <c r="I21" s="9" t="s">
        <v>35</v>
      </c>
      <c r="J21" s="5">
        <f>IFERROR(SUM(F20:F29),"")</f>
        <v>18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1</v>
      </c>
      <c r="F22" s="5">
        <f t="shared" si="0"/>
        <v>1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3</v>
      </c>
      <c r="F24" s="5">
        <f t="shared" si="0"/>
        <v>3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2</v>
      </c>
      <c r="F25" s="5">
        <f t="shared" si="0"/>
        <v>2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1</v>
      </c>
      <c r="F26" s="5">
        <f t="shared" si="0"/>
        <v>1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5</v>
      </c>
      <c r="F27" s="5">
        <f t="shared" si="0"/>
        <v>5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1</v>
      </c>
      <c r="F28" s="5">
        <f t="shared" si="0"/>
        <v>1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7</v>
      </c>
      <c r="F29" s="5">
        <f t="shared" si="0"/>
        <v>1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4</v>
      </c>
      <c r="F38" s="15">
        <v>7</v>
      </c>
      <c r="G38" s="10"/>
      <c r="H38" s="15">
        <f t="shared" ref="H38:H47" si="1">IF(E38="","",IF(D38="Sì", 8-E38, E38))</f>
        <v>4</v>
      </c>
      <c r="I38" s="15">
        <f t="shared" ref="I38:I47" si="2">IF(F38="","",IF(D38="Sì", 8-F38, F38))</f>
        <v>7</v>
      </c>
      <c r="J38" s="10"/>
      <c r="K38" s="17" t="s">
        <v>66</v>
      </c>
      <c r="L38" s="15">
        <f>IFERROR(AVERAGEIF(H38:H47,"&lt;&gt;"),"")</f>
        <v>5</v>
      </c>
      <c r="M38" s="15">
        <f>IFERROR(AVERAGEIF(I38:I47,"&lt;&gt;"),"")</f>
        <v>5.9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66.666666666666671</v>
      </c>
      <c r="M39" s="15">
        <f>IF(M38="","",(M38-1)*100/6)</f>
        <v>81.666666666666671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4</v>
      </c>
      <c r="F40" s="15">
        <v>2</v>
      </c>
      <c r="G40" s="10"/>
      <c r="H40" s="15">
        <f t="shared" si="1"/>
        <v>4</v>
      </c>
      <c r="I40" s="15">
        <f t="shared" si="2"/>
        <v>6</v>
      </c>
      <c r="J40" s="10"/>
      <c r="K40" s="17" t="s">
        <v>72</v>
      </c>
      <c r="L40" s="15">
        <f>IFERROR(SUM(H38:H47),"")</f>
        <v>50</v>
      </c>
      <c r="M40" s="15">
        <f>IFERROR(SUM(H38:H47),"")</f>
        <v>50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5</v>
      </c>
      <c r="F41" s="15">
        <v>7</v>
      </c>
      <c r="G41" s="10"/>
      <c r="H41" s="15">
        <f t="shared" si="1"/>
        <v>5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2</v>
      </c>
      <c r="F42" s="15">
        <v>4</v>
      </c>
      <c r="G42" s="10"/>
      <c r="H42" s="15">
        <f t="shared" si="1"/>
        <v>2</v>
      </c>
      <c r="I42" s="15">
        <f t="shared" si="2"/>
        <v>4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6</v>
      </c>
      <c r="F43" s="15">
        <v>7</v>
      </c>
      <c r="G43" s="10"/>
      <c r="H43" s="15">
        <f t="shared" si="1"/>
        <v>6</v>
      </c>
      <c r="I43" s="15">
        <f t="shared" si="2"/>
        <v>7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5</v>
      </c>
      <c r="F44" s="15">
        <v>5</v>
      </c>
      <c r="G44" s="10"/>
      <c r="H44" s="15">
        <f t="shared" si="1"/>
        <v>5</v>
      </c>
      <c r="I44" s="15">
        <f t="shared" si="2"/>
        <v>5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2</v>
      </c>
      <c r="F45" s="15">
        <v>3</v>
      </c>
      <c r="G45" s="10"/>
      <c r="H45" s="15">
        <f t="shared" si="1"/>
        <v>6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6</v>
      </c>
      <c r="F47" s="15">
        <v>6</v>
      </c>
      <c r="G47" s="10"/>
      <c r="H47" s="15">
        <f t="shared" si="1"/>
        <v>6</v>
      </c>
      <c r="I47" s="15">
        <f t="shared" si="2"/>
        <v>6</v>
      </c>
      <c r="J47" s="10"/>
      <c r="K47" s="10"/>
      <c r="L47" s="10"/>
      <c r="M47" s="10"/>
      <c r="O47" s="14"/>
      <c r="P47" s="10"/>
      <c r="Q47" s="15" t="s">
        <v>378</v>
      </c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5.666666666666667</v>
      </c>
      <c r="M55" s="15">
        <f>IFERROR(AVERAGEIF(I55:I60,"&lt;&gt;"),"")</f>
        <v>5.2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4</v>
      </c>
      <c r="G56" s="10"/>
      <c r="H56" s="15">
        <f t="shared" si="3"/>
        <v>6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77.777777777777786</v>
      </c>
      <c r="M56" s="15">
        <f>IF(M55="","",(M55-1)*100/6)</f>
        <v>70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5</v>
      </c>
      <c r="F57" s="15">
        <v>3</v>
      </c>
      <c r="G57" s="10"/>
      <c r="H57" s="15">
        <f t="shared" si="3"/>
        <v>5</v>
      </c>
      <c r="I57" s="15">
        <f t="shared" si="4"/>
        <v>3</v>
      </c>
      <c r="J57" s="10"/>
      <c r="K57" s="17" t="s">
        <v>72</v>
      </c>
      <c r="L57" s="15">
        <f>IFERROR(SUM(H55:H60),"")</f>
        <v>34</v>
      </c>
      <c r="M57" s="15">
        <f>IFERROR(SUM(I55:I60),"")</f>
        <v>26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3</v>
      </c>
      <c r="G58" s="10"/>
      <c r="H58" s="15">
        <f t="shared" si="3"/>
        <v>3</v>
      </c>
      <c r="I58" s="15">
        <f t="shared" si="4"/>
        <v>5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5.333333333333333</v>
      </c>
      <c r="M68" s="15">
        <f>IFERROR(AVERAGEIF(I68:I70,"&lt;&gt;"),"")</f>
        <v>6.333333333333333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6</v>
      </c>
      <c r="G69" s="10"/>
      <c r="H69" s="15">
        <f>IF(E69="","",IF(D69="Sì", 8-E69, E69))</f>
        <v>4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72.222222222222214</v>
      </c>
      <c r="M69" s="15">
        <f>IF(M68="","",(M68-1)*100/6)</f>
        <v>88.888888888888872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16</v>
      </c>
      <c r="M70" s="15">
        <f>IFERROR(SUM(I68:I70),"")</f>
        <v>19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2</v>
      </c>
      <c r="F78" s="15">
        <v>7</v>
      </c>
      <c r="G78" s="10"/>
      <c r="H78" s="15">
        <f t="shared" ref="H78:H83" si="6">IF(E78="","",IF(D78="Sì", 8-E78, E78))</f>
        <v>2</v>
      </c>
      <c r="I78" s="15">
        <f>IF(F78="","",IF(D78="Sì", 8-F78, F78))</f>
        <v>7</v>
      </c>
      <c r="J78" s="10"/>
      <c r="K78" s="17" t="s">
        <v>66</v>
      </c>
      <c r="L78" s="15">
        <f>IFERROR(AVERAGEIF(H78:H83,"&lt;&gt;"),"")</f>
        <v>2.6666666666666665</v>
      </c>
      <c r="M78" s="15">
        <f>IFERROR(AVERAGEIF(I78:I83,"&lt;&gt;"),"")</f>
        <v>6.166666666666667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4</v>
      </c>
      <c r="F79" s="15">
        <v>6</v>
      </c>
      <c r="G79" s="10"/>
      <c r="H79" s="15">
        <f t="shared" si="6"/>
        <v>4</v>
      </c>
      <c r="I79" s="15">
        <f t="shared" ref="I79:I83" si="7">IF(F79="","",IF(D79="Sì", 8-F79, F79))</f>
        <v>6</v>
      </c>
      <c r="J79" s="10"/>
      <c r="K79" s="17" t="s">
        <v>69</v>
      </c>
      <c r="L79" s="15">
        <f>IF(L78="","",(L78-1)*100/6)</f>
        <v>27.777777777777775</v>
      </c>
      <c r="M79" s="15">
        <f>IF(M78="","",(M78-1)*100/6)</f>
        <v>86.111111111111128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4</v>
      </c>
      <c r="F80" s="15">
        <v>6</v>
      </c>
      <c r="G80" s="10"/>
      <c r="H80" s="15">
        <f t="shared" si="6"/>
        <v>4</v>
      </c>
      <c r="I80" s="15">
        <f t="shared" si="7"/>
        <v>6</v>
      </c>
      <c r="J80" s="10"/>
      <c r="K80" s="17" t="s">
        <v>72</v>
      </c>
      <c r="L80" s="15">
        <f>IFERROR(SUM(H78:H83),"")</f>
        <v>16</v>
      </c>
      <c r="M80" s="15">
        <f>IFERROR(SUM(I78:I83),"")</f>
        <v>37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7</v>
      </c>
      <c r="G81" s="10"/>
      <c r="H81" s="15">
        <f t="shared" si="6"/>
        <v>2</v>
      </c>
      <c r="I81" s="15">
        <f t="shared" si="7"/>
        <v>7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2</v>
      </c>
      <c r="F82" s="15">
        <v>6</v>
      </c>
      <c r="G82" s="10"/>
      <c r="H82" s="15">
        <f t="shared" si="6"/>
        <v>2</v>
      </c>
      <c r="I82" s="15">
        <f t="shared" si="7"/>
        <v>6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3</v>
      </c>
      <c r="G83" s="10"/>
      <c r="H83" s="15">
        <f t="shared" si="6"/>
        <v>2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4.5999999999999996</v>
      </c>
      <c r="M91" s="15">
        <f>IFERROR(AVERAGEIF(I91:I95,"&lt;&gt;"),"")</f>
        <v>5.6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2</v>
      </c>
      <c r="F92" s="15">
        <v>4</v>
      </c>
      <c r="G92" s="10"/>
      <c r="H92" s="15">
        <f>IF(E92="","",IF(D92="Sì", 8-E92, E92))</f>
        <v>6</v>
      </c>
      <c r="I92" s="15">
        <f t="shared" ref="I92:I95" si="8">IF(F92="","",IF(D92="Sì", 8-F92, F92))</f>
        <v>4</v>
      </c>
      <c r="J92" s="10"/>
      <c r="K92" s="17" t="s">
        <v>69</v>
      </c>
      <c r="L92" s="15">
        <f>IF(L91="","",(L91-1)*100/6)</f>
        <v>59.999999999999993</v>
      </c>
      <c r="M92" s="15">
        <f>IF(M91="","",(M91-1)*100/6)</f>
        <v>76.666666666666657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4</v>
      </c>
      <c r="F93" s="15">
        <v>1</v>
      </c>
      <c r="G93" s="10"/>
      <c r="H93" s="15">
        <f>IF(E93="","",IF(D93="Sì", 8-E93, E93))</f>
        <v>4</v>
      </c>
      <c r="I93" s="15">
        <f t="shared" si="8"/>
        <v>7</v>
      </c>
      <c r="J93" s="10"/>
      <c r="K93" s="17" t="s">
        <v>72</v>
      </c>
      <c r="L93" s="15">
        <f>IFERROR(SUM(H91:H95),"")</f>
        <v>23</v>
      </c>
      <c r="M93" s="15">
        <f>IFERROR(SUM(I91:I95),"")</f>
        <v>28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3</v>
      </c>
      <c r="F94" s="15">
        <v>3</v>
      </c>
      <c r="G94" s="10"/>
      <c r="H94" s="15">
        <f>IF(E94="","",IF(D94="Sì", 8-E94, E94))</f>
        <v>3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5</v>
      </c>
      <c r="F95" s="15">
        <v>1</v>
      </c>
      <c r="G95" s="10"/>
      <c r="H95" s="15">
        <f>IF(E95="","",IF(D95="Sì", 8-E95, E95))</f>
        <v>3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5.8</v>
      </c>
      <c r="M103" s="15">
        <f>IFERROR(AVERAGEIF(I103:I107,"&lt;&gt;"),"")</f>
        <v>4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80</v>
      </c>
      <c r="M104" s="15">
        <f>IF(M103="","",(M103-1)*100/6)</f>
        <v>50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29</v>
      </c>
      <c r="M105" s="15">
        <f>IFERROR(SUM(I103:I107),"")</f>
        <v>4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7</v>
      </c>
      <c r="F106" s="15"/>
      <c r="G106" s="10"/>
      <c r="H106" s="15">
        <f>IF(E106="","",IF(D106="Sì", 8-E106, E106))</f>
        <v>7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4</v>
      </c>
      <c r="F107" s="15">
        <v>4</v>
      </c>
      <c r="G107" s="10"/>
      <c r="H107" s="15">
        <f>IF(E107="","",IF(D107="Sì", 8-E107, E107))</f>
        <v>4</v>
      </c>
      <c r="I107" s="15">
        <f>IF(F107="","",IF(D107="Sì", 8-F107, F107))</f>
        <v>4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3</v>
      </c>
      <c r="G115" s="10"/>
      <c r="H115" s="15">
        <f>IF(E115="","",IF(D115="Sì", 8-E115, E115))</f>
        <v>7</v>
      </c>
      <c r="I115" s="15">
        <f>IF(F115="","",IF(D115="Sì", 8-F115, F115))</f>
        <v>5</v>
      </c>
      <c r="J115" s="10"/>
      <c r="K115" s="17" t="s">
        <v>66</v>
      </c>
      <c r="L115" s="15">
        <f>IFERROR(AVERAGEIF(H115:H118,"&lt;&gt;"),"")</f>
        <v>7</v>
      </c>
      <c r="M115" s="15">
        <f>IFERROR(AVERAGEIF(I115:I118,"&lt;&gt;"),"")</f>
        <v>5.25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7</v>
      </c>
      <c r="F116" s="15">
        <v>3</v>
      </c>
      <c r="G116" s="10"/>
      <c r="H116" s="15">
        <f>IF(E116="","",IF(D116="Sì", 8-E116, E116))</f>
        <v>7</v>
      </c>
      <c r="I116" s="15">
        <f t="shared" ref="I116:I117" si="10">IF(F116="","",IF(D116="Sì", 8-F116, F116))</f>
        <v>3</v>
      </c>
      <c r="J116" s="10"/>
      <c r="K116" s="17" t="s">
        <v>69</v>
      </c>
      <c r="L116" s="15">
        <f>IF(L115="","",(L115-1)*100/6)</f>
        <v>100</v>
      </c>
      <c r="M116" s="15">
        <f>IF(M115="","",(M115-1)*100/6)</f>
        <v>70.833333333333329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28</v>
      </c>
      <c r="M117" s="15">
        <f>IFERROR(SUM(I115:I118),"")</f>
        <v>21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6</v>
      </c>
      <c r="G118" s="10"/>
      <c r="H118" s="15">
        <f>IF(E118="","",IF(D118="Sì", 8-E118, E118))</f>
        <v>7</v>
      </c>
      <c r="I118" s="15">
        <f>IF(F118="","",IF(D118="Sì", 8-F118, F118))</f>
        <v>6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3</v>
      </c>
      <c r="F126" s="15"/>
      <c r="G126" s="10"/>
      <c r="H126" s="15">
        <f>IF(E126="","",IF(D126="Sì", 8-E126, E126))</f>
        <v>3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72.222222222222214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16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7</v>
      </c>
      <c r="G136" s="10"/>
      <c r="H136" s="15">
        <f>IF(E136="","",IF(D136="Sì", 8-E136, E136))</f>
        <v>5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4.5</v>
      </c>
      <c r="M136" s="15">
        <f>IFERROR(AVERAGEIF(I136:I137,"&lt;&gt;"),"")</f>
        <v>6.5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4</v>
      </c>
      <c r="F137" s="15">
        <v>6</v>
      </c>
      <c r="G137" s="10"/>
      <c r="H137" s="15">
        <f>IF(E137="","",IF(D137="Sì", 8-E137, E137))</f>
        <v>4</v>
      </c>
      <c r="I137" s="15">
        <f>IF(F137="","",IF(D137="Sì", 8-F137, F137))</f>
        <v>6</v>
      </c>
      <c r="J137" s="10"/>
      <c r="K137" s="17" t="s">
        <v>69</v>
      </c>
      <c r="L137" s="15">
        <f>IF(L136="","",(L136-1)*100/6)</f>
        <v>58.333333333333336</v>
      </c>
      <c r="M137" s="15">
        <f>IF(M136="","",(M136-1)*100/6)</f>
        <v>91.666666666666671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9</v>
      </c>
      <c r="M138" s="15">
        <f>IFERROR(SUM(I136:I137),"")</f>
        <v>13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0.33333333333333331</v>
      </c>
      <c r="M145" s="15">
        <f>IFERROR(AVERAGEIF(I145:I150,"&lt;&gt;"),"")</f>
        <v>0.66666666666666663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11.111111111111109</v>
      </c>
      <c r="M146" s="15">
        <f>IF(M145="","",M145*100/3)</f>
        <v>22.222222222222218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1</v>
      </c>
      <c r="F147" s="15">
        <v>1</v>
      </c>
      <c r="G147" s="10"/>
      <c r="H147" s="15">
        <f>IF(E147="","",E147)</f>
        <v>1</v>
      </c>
      <c r="I147" s="15">
        <f t="shared" si="12"/>
        <v>1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1</v>
      </c>
      <c r="F149" s="15">
        <v>1</v>
      </c>
      <c r="G149" s="10"/>
      <c r="H149" s="15">
        <f>IF(E149="","",E149)</f>
        <v>1</v>
      </c>
      <c r="I149" s="15">
        <f t="shared" si="12"/>
        <v>1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2</v>
      </c>
      <c r="G150" s="10"/>
      <c r="H150" s="15">
        <f>IF(E150="","",E150)</f>
        <v>0</v>
      </c>
      <c r="I150" s="15">
        <f t="shared" si="12"/>
        <v>2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5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35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87.5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5</v>
      </c>
      <c r="G162" s="10"/>
      <c r="H162" s="15">
        <f t="shared" si="13"/>
        <v>3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4</v>
      </c>
      <c r="F164" s="15">
        <v>4</v>
      </c>
      <c r="G164" s="10"/>
      <c r="H164" s="15">
        <f t="shared" si="13"/>
        <v>3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3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2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0.66666666666666663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2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FDB92D03-C9FE-42DC-B636-335BBC5F3E98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EEAC682B-3A85-4A76-800D-9F4358D15B87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07492F0D-C86E-4A37-95D0-AA8C247803D7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11F72A4B-7C3C-40A3-99EA-DA3E0C212555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834CA52F-5441-4C44-BB8E-E66232FF172E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49F55F83-570C-43CD-BCBE-FEC881A734C5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1CC2-FED6-442D-A138-56654DF256B1}">
  <dimension ref="B1:Q205"/>
  <sheetViews>
    <sheetView topLeftCell="C185" zoomScale="113" zoomScaleNormal="70" workbookViewId="0">
      <selection activeCell="E196" sqref="E196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8.66406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274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29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253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253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5.2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7</v>
      </c>
      <c r="F20" s="5">
        <f t="shared" ref="F20:F29" si="0">IF(E20="","",IF(D20="Sì", 8-E20, E20))</f>
        <v>7</v>
      </c>
      <c r="G20" s="5"/>
      <c r="H20" s="3"/>
      <c r="I20" s="9" t="s">
        <v>32</v>
      </c>
      <c r="J20" s="5">
        <f>IF(J19="","",( J19-1 )*100/6)</f>
        <v>70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7</v>
      </c>
      <c r="F21" s="5">
        <f t="shared" si="0"/>
        <v>7</v>
      </c>
      <c r="G21" s="5"/>
      <c r="H21" s="3"/>
      <c r="I21" s="9" t="s">
        <v>35</v>
      </c>
      <c r="J21" s="5">
        <f>IFERROR(SUM(F20:F29),"")</f>
        <v>52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7</v>
      </c>
      <c r="F22" s="5">
        <f t="shared" si="0"/>
        <v>7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7</v>
      </c>
      <c r="F23" s="5">
        <f t="shared" si="0"/>
        <v>7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4</v>
      </c>
      <c r="F24" s="5">
        <f t="shared" si="0"/>
        <v>4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6</v>
      </c>
      <c r="F25" s="5">
        <f t="shared" si="0"/>
        <v>6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7</v>
      </c>
      <c r="F26" s="5">
        <f t="shared" si="0"/>
        <v>7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1</v>
      </c>
      <c r="F27" s="5">
        <f t="shared" si="0"/>
        <v>1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5</v>
      </c>
      <c r="F28" s="5">
        <f t="shared" si="0"/>
        <v>5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7</v>
      </c>
      <c r="F29" s="5">
        <f t="shared" si="0"/>
        <v>1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6</v>
      </c>
      <c r="F38" s="15">
        <v>6</v>
      </c>
      <c r="G38" s="10"/>
      <c r="H38" s="15">
        <f t="shared" ref="H38:H47" si="1">IF(E38="","",IF(D38="Sì", 8-E38, E38))</f>
        <v>6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5.2</v>
      </c>
      <c r="M38" s="15">
        <f>IFERROR(AVERAGEIF(I38:I47,"&lt;&gt;"),"")</f>
        <v>5.4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70</v>
      </c>
      <c r="M39" s="15">
        <f>IF(M38="","",(M38-1)*100/6)</f>
        <v>73.333333333333343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1</v>
      </c>
      <c r="F40" s="15">
        <v>1</v>
      </c>
      <c r="G40" s="10"/>
      <c r="H40" s="15">
        <f t="shared" si="1"/>
        <v>7</v>
      </c>
      <c r="I40" s="15">
        <f t="shared" si="2"/>
        <v>7</v>
      </c>
      <c r="J40" s="10"/>
      <c r="K40" s="17" t="s">
        <v>72</v>
      </c>
      <c r="L40" s="15">
        <f>IFERROR(SUM(H38:H47),"")</f>
        <v>52</v>
      </c>
      <c r="M40" s="15">
        <f>IFERROR(SUM(H38:H47),"")</f>
        <v>52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7</v>
      </c>
      <c r="F42" s="15">
        <v>7</v>
      </c>
      <c r="G42" s="10"/>
      <c r="H42" s="15">
        <f t="shared" si="1"/>
        <v>7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3</v>
      </c>
      <c r="F43" s="15">
        <v>3</v>
      </c>
      <c r="G43" s="10"/>
      <c r="H43" s="15">
        <f t="shared" si="1"/>
        <v>3</v>
      </c>
      <c r="I43" s="15">
        <f t="shared" si="2"/>
        <v>3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2</v>
      </c>
      <c r="F44" s="15">
        <v>2</v>
      </c>
      <c r="G44" s="10"/>
      <c r="H44" s="15">
        <f t="shared" si="1"/>
        <v>2</v>
      </c>
      <c r="I44" s="15">
        <f t="shared" si="2"/>
        <v>2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2</v>
      </c>
      <c r="G45" s="10"/>
      <c r="H45" s="15">
        <f t="shared" si="1"/>
        <v>5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6</v>
      </c>
      <c r="G46" s="10"/>
      <c r="H46" s="15">
        <f t="shared" si="1"/>
        <v>5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4</v>
      </c>
      <c r="F47" s="15">
        <v>4</v>
      </c>
      <c r="G47" s="10"/>
      <c r="H47" s="15">
        <f t="shared" si="1"/>
        <v>4</v>
      </c>
      <c r="I47" s="15">
        <f t="shared" si="2"/>
        <v>4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</v>
      </c>
      <c r="M55" s="15">
        <f>IFERROR(AVERAGEIF(I55:I60,"&lt;&gt;"),"")</f>
        <v>5.2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5</v>
      </c>
      <c r="G56" s="10"/>
      <c r="H56" s="15">
        <f t="shared" si="3"/>
        <v>6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83.333333333333329</v>
      </c>
      <c r="M56" s="15">
        <f>IF(M55="","",(M55-1)*100/6)</f>
        <v>70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6</v>
      </c>
      <c r="G57" s="10"/>
      <c r="H57" s="15">
        <f t="shared" si="3"/>
        <v>7</v>
      </c>
      <c r="I57" s="15">
        <f t="shared" si="4"/>
        <v>6</v>
      </c>
      <c r="J57" s="10"/>
      <c r="K57" s="17" t="s">
        <v>72</v>
      </c>
      <c r="L57" s="15">
        <f>IFERROR(SUM(H55:H60),"")</f>
        <v>36</v>
      </c>
      <c r="M57" s="15">
        <f>IFERROR(SUM(I55:I60),"")</f>
        <v>26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7</v>
      </c>
      <c r="G58" s="10"/>
      <c r="H58" s="15">
        <f t="shared" si="3"/>
        <v>3</v>
      </c>
      <c r="I58" s="15">
        <f t="shared" si="4"/>
        <v>1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6</v>
      </c>
      <c r="F68" s="15">
        <v>7</v>
      </c>
      <c r="G68" s="10"/>
      <c r="H68" s="15">
        <f>IF(E68="","",IF(D68="Sì", 8-E68, E68))</f>
        <v>6</v>
      </c>
      <c r="I68" s="15">
        <f>IF(F68="","",IF(D68="Sì", 8-F68, F68))</f>
        <v>7</v>
      </c>
      <c r="J68" s="10"/>
      <c r="K68" s="17" t="s">
        <v>66</v>
      </c>
      <c r="L68" s="15">
        <f>IFERROR(AVERAGEIF(H68:H70,"&lt;&gt;"),"")</f>
        <v>6.333333333333333</v>
      </c>
      <c r="M68" s="15">
        <f>IFERROR(AVERAGEIF(I68:I70,"&lt;&gt;"),"")</f>
        <v>6.333333333333333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6</v>
      </c>
      <c r="F69" s="15">
        <v>6</v>
      </c>
      <c r="G69" s="10"/>
      <c r="H69" s="15">
        <f>IF(E69="","",IF(D69="Sì", 8-E69, E69))</f>
        <v>6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88.888888888888872</v>
      </c>
      <c r="M69" s="15">
        <f>IF(M68="","",(M68-1)*100/6)</f>
        <v>88.888888888888872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2</v>
      </c>
      <c r="G70" s="10"/>
      <c r="H70" s="15">
        <f>IF(E70="","",IF(D70="Sì", 8-E70, E70))</f>
        <v>7</v>
      </c>
      <c r="I70" s="15">
        <f t="shared" si="5"/>
        <v>6</v>
      </c>
      <c r="J70" s="10"/>
      <c r="K70" s="17" t="s">
        <v>72</v>
      </c>
      <c r="L70" s="15">
        <f>IFERROR(SUM(H68:H70),"")</f>
        <v>19</v>
      </c>
      <c r="M70" s="15">
        <f>IFERROR(SUM(I68:I70),"")</f>
        <v>19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7</v>
      </c>
      <c r="F78" s="15">
        <v>7</v>
      </c>
      <c r="G78" s="10"/>
      <c r="H78" s="15">
        <f t="shared" ref="H78:H83" si="6">IF(E78="","",IF(D78="Sì", 8-E78, E78))</f>
        <v>7</v>
      </c>
      <c r="I78" s="15">
        <f>IF(F78="","",IF(D78="Sì", 8-F78, F78))</f>
        <v>7</v>
      </c>
      <c r="J78" s="10"/>
      <c r="K78" s="17" t="s">
        <v>66</v>
      </c>
      <c r="L78" s="15">
        <f>IFERROR(AVERAGEIF(H78:H83,"&lt;&gt;"),"")</f>
        <v>4.5</v>
      </c>
      <c r="M78" s="15">
        <f>IFERROR(AVERAGEIF(I78:I83,"&lt;&gt;"),"")</f>
        <v>5.833333333333333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4</v>
      </c>
      <c r="F79" s="15">
        <v>7</v>
      </c>
      <c r="G79" s="10"/>
      <c r="H79" s="15">
        <f t="shared" si="6"/>
        <v>4</v>
      </c>
      <c r="I79" s="15">
        <f t="shared" ref="I79:I83" si="7">IF(F79="","",IF(D79="Sì", 8-F79, F79))</f>
        <v>7</v>
      </c>
      <c r="J79" s="10"/>
      <c r="K79" s="17" t="s">
        <v>69</v>
      </c>
      <c r="L79" s="15">
        <f>IF(L78="","",(L78-1)*100/6)</f>
        <v>58.333333333333336</v>
      </c>
      <c r="M79" s="15">
        <f>IF(M78="","",(M78-1)*100/6)</f>
        <v>80.555555555555557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7</v>
      </c>
      <c r="F80" s="15">
        <v>7</v>
      </c>
      <c r="G80" s="10"/>
      <c r="H80" s="15">
        <f t="shared" si="6"/>
        <v>7</v>
      </c>
      <c r="I80" s="15">
        <f t="shared" si="7"/>
        <v>7</v>
      </c>
      <c r="J80" s="10"/>
      <c r="K80" s="17" t="s">
        <v>72</v>
      </c>
      <c r="L80" s="15">
        <f>IFERROR(SUM(H78:H83),"")</f>
        <v>27</v>
      </c>
      <c r="M80" s="15">
        <f>IFERROR(SUM(I78:I83),"")</f>
        <v>35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7</v>
      </c>
      <c r="F81" s="15">
        <v>7</v>
      </c>
      <c r="G81" s="10"/>
      <c r="H81" s="15">
        <f t="shared" si="6"/>
        <v>7</v>
      </c>
      <c r="I81" s="15">
        <f t="shared" si="7"/>
        <v>7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2</v>
      </c>
      <c r="G83" s="10"/>
      <c r="H83" s="15">
        <f t="shared" si="6"/>
        <v>1</v>
      </c>
      <c r="I83" s="15">
        <f t="shared" si="7"/>
        <v>6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6.6</v>
      </c>
      <c r="M91" s="15">
        <f>IFERROR(AVERAGEIF(I91:I95,"&lt;&gt;"),"")</f>
        <v>5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6</v>
      </c>
      <c r="G92" s="10"/>
      <c r="H92" s="15">
        <f>IF(E92="","",IF(D92="Sì", 8-E92, E92))</f>
        <v>7</v>
      </c>
      <c r="I92" s="15">
        <f t="shared" ref="I92:I95" si="8">IF(F92="","",IF(D92="Sì", 8-F92, F92))</f>
        <v>2</v>
      </c>
      <c r="J92" s="10"/>
      <c r="K92" s="17" t="s">
        <v>69</v>
      </c>
      <c r="L92" s="15">
        <f>IF(L91="","",(L91-1)*100/6)</f>
        <v>93.333333333333329</v>
      </c>
      <c r="M92" s="15">
        <f>IF(M91="","",(M91-1)*100/6)</f>
        <v>66.666666666666671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1</v>
      </c>
      <c r="G93" s="10"/>
      <c r="H93" s="15">
        <f>IF(E93="","",IF(D93="Sì", 8-E93, E93))</f>
        <v>7</v>
      </c>
      <c r="I93" s="15">
        <f t="shared" si="8"/>
        <v>7</v>
      </c>
      <c r="J93" s="10"/>
      <c r="K93" s="17" t="s">
        <v>72</v>
      </c>
      <c r="L93" s="15">
        <f>IFERROR(SUM(H91:H95),"")</f>
        <v>33</v>
      </c>
      <c r="M93" s="15">
        <f>IFERROR(SUM(I91:I95),"")</f>
        <v>25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7</v>
      </c>
      <c r="F94" s="15">
        <v>7</v>
      </c>
      <c r="G94" s="10"/>
      <c r="H94" s="15">
        <f>IF(E94="","",IF(D94="Sì", 8-E94, E94))</f>
        <v>7</v>
      </c>
      <c r="I94" s="15">
        <f t="shared" si="8"/>
        <v>7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3</v>
      </c>
      <c r="F95" s="15">
        <v>6</v>
      </c>
      <c r="G95" s="10"/>
      <c r="H95" s="15">
        <f>IF(E95="","",IF(D95="Sì", 8-E95, E95))</f>
        <v>5</v>
      </c>
      <c r="I95" s="15">
        <f t="shared" si="8"/>
        <v>2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6.8</v>
      </c>
      <c r="M103" s="15">
        <f>IFERROR(AVERAGEIF(I103:I107,"&lt;&gt;"),"")</f>
        <v>6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7</v>
      </c>
      <c r="F104" s="15"/>
      <c r="G104" s="10"/>
      <c r="H104" s="15">
        <f>IF(E104="","",IF(D104="Sì", 8-E104, E104))</f>
        <v>7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96.666666666666671</v>
      </c>
      <c r="M104" s="15">
        <f>IF(M103="","",(M103-1)*100/6)</f>
        <v>83.333333333333329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34</v>
      </c>
      <c r="M105" s="15">
        <f>IFERROR(SUM(I103:I107),"")</f>
        <v>6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7</v>
      </c>
      <c r="F106" s="15"/>
      <c r="G106" s="10"/>
      <c r="H106" s="15">
        <f>IF(E106="","",IF(D106="Sì", 8-E106, E106))</f>
        <v>7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6</v>
      </c>
      <c r="F107" s="15">
        <v>6</v>
      </c>
      <c r="G107" s="10"/>
      <c r="H107" s="15">
        <f>IF(E107="","",IF(D107="Sì", 8-E107, E107))</f>
        <v>6</v>
      </c>
      <c r="I107" s="15">
        <f>IF(F107="","",IF(D107="Sì", 8-F107, F107))</f>
        <v>6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6.75</v>
      </c>
      <c r="M115" s="15">
        <f>IFERROR(AVERAGEIF(I115:I118,"&lt;&gt;"),"")</f>
        <v>6.75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7</v>
      </c>
      <c r="F116" s="15">
        <v>7</v>
      </c>
      <c r="G116" s="10"/>
      <c r="H116" s="15">
        <f>IF(E116="","",IF(D116="Sì", 8-E116, E116))</f>
        <v>7</v>
      </c>
      <c r="I116" s="15">
        <f t="shared" ref="I116:I117" si="10">IF(F116="","",IF(D116="Sì", 8-F116, F116))</f>
        <v>7</v>
      </c>
      <c r="J116" s="10"/>
      <c r="K116" s="17" t="s">
        <v>69</v>
      </c>
      <c r="L116" s="15">
        <f>IF(L115="","",(L115-1)*100/6)</f>
        <v>95.833333333333329</v>
      </c>
      <c r="M116" s="15">
        <f>IF(M115="","",(M115-1)*100/6)</f>
        <v>95.833333333333329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2</v>
      </c>
      <c r="G117" s="10"/>
      <c r="H117" s="15">
        <f>IF(E117="","",IF(D117="Sì", 8-E117, E117))</f>
        <v>6</v>
      </c>
      <c r="I117" s="15">
        <f t="shared" si="10"/>
        <v>6</v>
      </c>
      <c r="J117" s="10"/>
      <c r="K117" s="17" t="s">
        <v>72</v>
      </c>
      <c r="L117" s="15">
        <f>IFERROR(SUM(H115:H118),"")</f>
        <v>27</v>
      </c>
      <c r="M117" s="15">
        <f>IFERROR(SUM(I115:I118),"")</f>
        <v>27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2</v>
      </c>
      <c r="F127" s="15"/>
      <c r="G127" s="10"/>
      <c r="H127" s="15">
        <f>IF(E127="","",IF(D127="Sì", 8-E127, E127))</f>
        <v>6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61.111111111111114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14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5</v>
      </c>
      <c r="G136" s="10"/>
      <c r="H136" s="15">
        <f>IF(E136="","",IF(D136="Sì", 8-E136, E136))</f>
        <v>7</v>
      </c>
      <c r="I136" s="15">
        <f>IF(F136="","",IF(D136="Sì", 8-F136, F136))</f>
        <v>5</v>
      </c>
      <c r="J136" s="10"/>
      <c r="K136" s="17" t="s">
        <v>66</v>
      </c>
      <c r="L136" s="15">
        <f>IFERROR(AVERAGEIF(H136:H137,"&lt;&gt;"),"")</f>
        <v>7</v>
      </c>
      <c r="M136" s="15">
        <f>IFERROR(AVERAGEIF(I136:I137,"&lt;&gt;"),"")</f>
        <v>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7</v>
      </c>
      <c r="F137" s="15">
        <v>5</v>
      </c>
      <c r="G137" s="10"/>
      <c r="H137" s="15">
        <f>IF(E137="","",IF(D137="Sì", 8-E137, E137))</f>
        <v>7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100</v>
      </c>
      <c r="M137" s="15">
        <f>IF(M136="","",(M136-1)*100/6)</f>
        <v>66.666666666666671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14</v>
      </c>
      <c r="M138" s="15">
        <f>IFERROR(SUM(I136:I137),"")</f>
        <v>10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 t="shared" ref="H145:I150" si="12">IF(E145="","",E145)</f>
        <v>0</v>
      </c>
      <c r="I145" s="15">
        <f t="shared" si="12"/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 t="shared" si="12"/>
        <v>0</v>
      </c>
      <c r="I146" s="15">
        <f t="shared" si="12"/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 t="shared" si="12"/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 t="shared" si="12"/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 t="shared" si="12"/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 t="shared" si="12"/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5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39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97.5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4</v>
      </c>
      <c r="F164" s="15">
        <v>4</v>
      </c>
      <c r="G164" s="10"/>
      <c r="H164" s="15">
        <f t="shared" si="13"/>
        <v>3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275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EC6A161D-2A70-4321-B475-6BD8DBE3DC77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9AFD818-8791-4E95-BA73-230F119C6E8B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C9E16ECE-7B1B-449E-862D-DB332B170F40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B420CF53-9BE1-4A52-8B17-60FB25885A62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06B52BB1-60E7-43F8-AAB0-22D8117E1698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583CEEB7-8CE4-4834-BD7D-C1B4A81E6A60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A165-7F79-47CE-A22D-7DB700A5BB3B}">
  <dimension ref="B1:Q205"/>
  <sheetViews>
    <sheetView topLeftCell="B186" zoomScale="112" zoomScaleNormal="55" workbookViewId="0">
      <selection activeCell="E196" sqref="E196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7.77734375" style="2" customWidth="1"/>
    <col min="5" max="5" width="12.88671875" style="2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276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29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277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3.6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6</v>
      </c>
      <c r="F20" s="5">
        <f t="shared" ref="F20:F29" si="0">IF(E20="","",IF(D20="Sì", 8-E20, E20))</f>
        <v>6</v>
      </c>
      <c r="G20" s="5"/>
      <c r="H20" s="3"/>
      <c r="I20" s="9" t="s">
        <v>32</v>
      </c>
      <c r="J20" s="5">
        <f>IF(J19="","",( J19-1 )*100/6)</f>
        <v>43.333333333333336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6</v>
      </c>
      <c r="F21" s="5">
        <f t="shared" si="0"/>
        <v>6</v>
      </c>
      <c r="G21" s="5"/>
      <c r="H21" s="3"/>
      <c r="I21" s="9" t="s">
        <v>35</v>
      </c>
      <c r="J21" s="5">
        <f>IFERROR(SUM(F20:F29),"")</f>
        <v>36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4</v>
      </c>
      <c r="F22" s="5">
        <f t="shared" si="0"/>
        <v>4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2</v>
      </c>
      <c r="F24" s="5">
        <f t="shared" si="0"/>
        <v>2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4</v>
      </c>
      <c r="F27" s="5">
        <f t="shared" si="0"/>
        <v>4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2</v>
      </c>
      <c r="F28" s="5">
        <f t="shared" si="0"/>
        <v>2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2</v>
      </c>
      <c r="F29" s="5">
        <f t="shared" si="0"/>
        <v>6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4.2</v>
      </c>
      <c r="M38" s="15">
        <f>IFERROR(AVERAGEIF(I38:I47,"&lt;&gt;"),"")</f>
        <v>5.4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5</v>
      </c>
      <c r="G39" s="10"/>
      <c r="H39" s="15">
        <f t="shared" si="1"/>
        <v>5</v>
      </c>
      <c r="I39" s="15">
        <f t="shared" si="2"/>
        <v>5</v>
      </c>
      <c r="J39" s="10"/>
      <c r="K39" s="17" t="s">
        <v>69</v>
      </c>
      <c r="L39" s="15">
        <f>IF(L38="","",(L38-1)*100/6)</f>
        <v>53.333333333333336</v>
      </c>
      <c r="M39" s="15">
        <f>IF(M38="","",(M38-1)*100/6)</f>
        <v>73.333333333333343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3</v>
      </c>
      <c r="G40" s="10"/>
      <c r="H40" s="15">
        <f t="shared" si="1"/>
        <v>3</v>
      </c>
      <c r="I40" s="15">
        <f t="shared" si="2"/>
        <v>5</v>
      </c>
      <c r="J40" s="10"/>
      <c r="K40" s="17" t="s">
        <v>72</v>
      </c>
      <c r="L40" s="15">
        <f>IFERROR(SUM(H38:H47),"")</f>
        <v>42</v>
      </c>
      <c r="M40" s="15">
        <f>IFERROR(SUM(H38:H47),"")</f>
        <v>42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6</v>
      </c>
      <c r="G42" s="10"/>
      <c r="H42" s="15">
        <f t="shared" si="1"/>
        <v>5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3</v>
      </c>
      <c r="F43" s="15">
        <v>6</v>
      </c>
      <c r="G43" s="10"/>
      <c r="H43" s="15">
        <f t="shared" si="1"/>
        <v>3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2</v>
      </c>
      <c r="F44" s="15">
        <v>5</v>
      </c>
      <c r="G44" s="10"/>
      <c r="H44" s="15">
        <f t="shared" si="1"/>
        <v>2</v>
      </c>
      <c r="I44" s="15">
        <f t="shared" si="2"/>
        <v>5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4</v>
      </c>
      <c r="F45" s="15">
        <v>2</v>
      </c>
      <c r="G45" s="10"/>
      <c r="H45" s="15">
        <f t="shared" si="1"/>
        <v>4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243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4</v>
      </c>
      <c r="G47" s="10"/>
      <c r="H47" s="15">
        <f t="shared" si="1"/>
        <v>3</v>
      </c>
      <c r="I47" s="15">
        <f t="shared" si="2"/>
        <v>4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6.166666666666667</v>
      </c>
      <c r="M55" s="15">
        <f>IFERROR(AVERAGEIF(I55:I60,"&lt;&gt;"),"")</f>
        <v>5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5</v>
      </c>
      <c r="F56" s="15">
        <v>4</v>
      </c>
      <c r="G56" s="10"/>
      <c r="H56" s="15">
        <f t="shared" si="3"/>
        <v>5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86.111111111111128</v>
      </c>
      <c r="M56" s="15">
        <f>IF(M55="","",(M55-1)*100/6)</f>
        <v>66.666666666666671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6</v>
      </c>
      <c r="G57" s="10"/>
      <c r="H57" s="15">
        <f t="shared" si="3"/>
        <v>6</v>
      </c>
      <c r="I57" s="15">
        <f t="shared" si="4"/>
        <v>6</v>
      </c>
      <c r="J57" s="10"/>
      <c r="K57" s="17" t="s">
        <v>72</v>
      </c>
      <c r="L57" s="15">
        <f>IFERROR(SUM(H55:H60),"")</f>
        <v>37</v>
      </c>
      <c r="M57" s="15">
        <f>IFERROR(SUM(I55:I60),"")</f>
        <v>25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2</v>
      </c>
      <c r="F58" s="15">
        <v>6</v>
      </c>
      <c r="G58" s="10"/>
      <c r="H58" s="15">
        <f t="shared" si="3"/>
        <v>6</v>
      </c>
      <c r="I58" s="15">
        <f t="shared" si="4"/>
        <v>2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6</v>
      </c>
      <c r="G59" s="10"/>
      <c r="H59" s="15">
        <f t="shared" si="3"/>
        <v>7</v>
      </c>
      <c r="I59" s="15">
        <f t="shared" si="4"/>
        <v>6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4.666666666666667</v>
      </c>
      <c r="M68" s="15">
        <f>IFERROR(AVERAGEIF(I68:I70,"&lt;&gt;"),"")</f>
        <v>5.333333333333333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5</v>
      </c>
      <c r="F69" s="15">
        <v>6</v>
      </c>
      <c r="G69" s="10"/>
      <c r="H69" s="15">
        <f>IF(E69="","",IF(D69="Sì", 8-E69, E69))</f>
        <v>5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61.111111111111114</v>
      </c>
      <c r="M69" s="15">
        <f>IF(M68="","",(M68-1)*100/6)</f>
        <v>72.222222222222214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4</v>
      </c>
      <c r="F70" s="15">
        <v>4</v>
      </c>
      <c r="G70" s="10"/>
      <c r="H70" s="15">
        <f>IF(E70="","",IF(D70="Sì", 8-E70, E70))</f>
        <v>4</v>
      </c>
      <c r="I70" s="15">
        <f t="shared" si="5"/>
        <v>4</v>
      </c>
      <c r="J70" s="10"/>
      <c r="K70" s="17" t="s">
        <v>72</v>
      </c>
      <c r="L70" s="15">
        <f>IFERROR(SUM(H68:H70),"")</f>
        <v>14</v>
      </c>
      <c r="M70" s="15">
        <f>IFERROR(SUM(I68:I70),"")</f>
        <v>16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5</v>
      </c>
      <c r="F78" s="15">
        <v>6</v>
      </c>
      <c r="G78" s="10"/>
      <c r="H78" s="15">
        <f t="shared" ref="H78:H83" si="6">IF(E78="","",IF(D78="Sì", 8-E78, E78))</f>
        <v>5</v>
      </c>
      <c r="I78" s="15">
        <f>IF(F78="","",IF(D78="Sì", 8-F78, F78))</f>
        <v>6</v>
      </c>
      <c r="J78" s="10"/>
      <c r="K78" s="17" t="s">
        <v>66</v>
      </c>
      <c r="L78" s="15">
        <f>IFERROR(AVERAGEIF(H78:H83,"&lt;&gt;"),"")</f>
        <v>3</v>
      </c>
      <c r="M78" s="15">
        <f>IFERROR(AVERAGEIF(I78:I83,"&lt;&gt;"),"")</f>
        <v>5.166666666666667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3</v>
      </c>
      <c r="F79" s="15">
        <v>6</v>
      </c>
      <c r="G79" s="10"/>
      <c r="H79" s="15">
        <f t="shared" si="6"/>
        <v>3</v>
      </c>
      <c r="I79" s="15">
        <f t="shared" ref="I79:I83" si="7">IF(F79="","",IF(D79="Sì", 8-F79, F79))</f>
        <v>6</v>
      </c>
      <c r="J79" s="10"/>
      <c r="K79" s="17" t="s">
        <v>69</v>
      </c>
      <c r="L79" s="15">
        <f>IF(L78="","",(L78-1)*100/6)</f>
        <v>33.333333333333336</v>
      </c>
      <c r="M79" s="15">
        <f>IF(M78="","",(M78-1)*100/6)</f>
        <v>69.444444444444443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5</v>
      </c>
      <c r="F80" s="15">
        <v>6</v>
      </c>
      <c r="G80" s="10"/>
      <c r="H80" s="15">
        <f t="shared" si="6"/>
        <v>5</v>
      </c>
      <c r="I80" s="15">
        <f t="shared" si="7"/>
        <v>6</v>
      </c>
      <c r="J80" s="10"/>
      <c r="K80" s="17" t="s">
        <v>72</v>
      </c>
      <c r="L80" s="15">
        <f>IFERROR(SUM(H78:H83),"")</f>
        <v>18</v>
      </c>
      <c r="M80" s="15">
        <f>IFERROR(SUM(I78:I83),"")</f>
        <v>31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5</v>
      </c>
      <c r="G81" s="10"/>
      <c r="H81" s="15">
        <f t="shared" si="6"/>
        <v>2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3</v>
      </c>
      <c r="G82" s="10"/>
      <c r="H82" s="15">
        <f t="shared" si="6"/>
        <v>1</v>
      </c>
      <c r="I82" s="15">
        <f t="shared" si="7"/>
        <v>3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3</v>
      </c>
      <c r="G83" s="10"/>
      <c r="H83" s="15">
        <f t="shared" si="6"/>
        <v>2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6</v>
      </c>
      <c r="F91" s="15">
        <v>4</v>
      </c>
      <c r="G91" s="10"/>
      <c r="H91" s="15">
        <f>IF(E91="","",IF(D91="Sì", 8-E91, E91))</f>
        <v>6</v>
      </c>
      <c r="I91" s="15">
        <f>IF(F91="","",IF(D91="Sì", 8-F91, F91))</f>
        <v>4</v>
      </c>
      <c r="J91" s="10"/>
      <c r="K91" s="17" t="s">
        <v>66</v>
      </c>
      <c r="L91" s="15">
        <f>IFERROR(AVERAGEIF(H91:H95,"&lt;&gt;"),"")</f>
        <v>6.4</v>
      </c>
      <c r="M91" s="15">
        <f>IFERROR(AVERAGEIF(I91:I95,"&lt;&gt;"),"")</f>
        <v>5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4</v>
      </c>
      <c r="G92" s="10"/>
      <c r="H92" s="15">
        <f>IF(E92="","",IF(D92="Sì", 8-E92, E92))</f>
        <v>7</v>
      </c>
      <c r="I92" s="15">
        <f t="shared" ref="I92:I95" si="8">IF(F92="","",IF(D92="Sì", 8-F92, F92))</f>
        <v>4</v>
      </c>
      <c r="J92" s="10"/>
      <c r="K92" s="17" t="s">
        <v>69</v>
      </c>
      <c r="L92" s="15">
        <f>IF(L91="","",(L91-1)*100/6)</f>
        <v>90</v>
      </c>
      <c r="M92" s="15">
        <f>IF(M91="","",(M91-1)*100/6)</f>
        <v>66.666666666666671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2</v>
      </c>
      <c r="G93" s="10"/>
      <c r="H93" s="15">
        <f>IF(E93="","",IF(D93="Sì", 8-E93, E93))</f>
        <v>7</v>
      </c>
      <c r="I93" s="15">
        <f t="shared" si="8"/>
        <v>6</v>
      </c>
      <c r="J93" s="10"/>
      <c r="K93" s="17" t="s">
        <v>72</v>
      </c>
      <c r="L93" s="15">
        <f>IFERROR(SUM(H91:H95),"")</f>
        <v>32</v>
      </c>
      <c r="M93" s="15">
        <f>IFERROR(SUM(I91:I95),"")</f>
        <v>25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4</v>
      </c>
      <c r="G94" s="10"/>
      <c r="H94" s="15">
        <f>IF(E94="","",IF(D94="Sì", 8-E94, E94))</f>
        <v>5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5.2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70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3</v>
      </c>
      <c r="F105" s="15"/>
      <c r="G105" s="10"/>
      <c r="H105" s="15">
        <f>IF(E105="","",IF(D105="Sì", 8-E105, E105))</f>
        <v>5</v>
      </c>
      <c r="I105" s="15" t="str">
        <f t="shared" si="9"/>
        <v/>
      </c>
      <c r="J105" s="10"/>
      <c r="K105" s="17" t="s">
        <v>72</v>
      </c>
      <c r="L105" s="15">
        <f>IFERROR(SUM(H103:H107),"")</f>
        <v>26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4</v>
      </c>
      <c r="F107" s="15">
        <v>3</v>
      </c>
      <c r="G107" s="10"/>
      <c r="H107" s="15">
        <f>IF(E107="","",IF(D107="Sì", 8-E107, E107))</f>
        <v>4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3</v>
      </c>
      <c r="F115" s="15">
        <v>4</v>
      </c>
      <c r="G115" s="10"/>
      <c r="H115" s="15">
        <f>IF(E115="","",IF(D115="Sì", 8-E115, E115))</f>
        <v>5</v>
      </c>
      <c r="I115" s="15">
        <f>IF(F115="","",IF(D115="Sì", 8-F115, F115))</f>
        <v>4</v>
      </c>
      <c r="J115" s="10"/>
      <c r="K115" s="17" t="s">
        <v>66</v>
      </c>
      <c r="L115" s="15">
        <f>IFERROR(AVERAGEIF(H115:H118,"&lt;&gt;"),"")</f>
        <v>5</v>
      </c>
      <c r="M115" s="15">
        <f>IFERROR(AVERAGEIF(I115:I118,"&lt;&gt;"),"")</f>
        <v>4.75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4</v>
      </c>
      <c r="F116" s="15">
        <v>5</v>
      </c>
      <c r="G116" s="10"/>
      <c r="H116" s="15">
        <f>IF(E116="","",IF(D116="Sì", 8-E116, E116))</f>
        <v>4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66.666666666666671</v>
      </c>
      <c r="M116" s="15">
        <f>IF(M115="","",(M115-1)*100/6)</f>
        <v>62.5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3</v>
      </c>
      <c r="F117" s="15">
        <v>5</v>
      </c>
      <c r="G117" s="10"/>
      <c r="H117" s="15">
        <f>IF(E117="","",IF(D117="Sì", 8-E117, E117))</f>
        <v>5</v>
      </c>
      <c r="I117" s="15">
        <f t="shared" si="10"/>
        <v>3</v>
      </c>
      <c r="J117" s="10"/>
      <c r="K117" s="17" t="s">
        <v>72</v>
      </c>
      <c r="L117" s="15">
        <f>IFERROR(SUM(H115:H118),"")</f>
        <v>20</v>
      </c>
      <c r="M117" s="15">
        <f>IFERROR(SUM(I115:I118),"")</f>
        <v>19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6</v>
      </c>
      <c r="F118" s="15">
        <v>7</v>
      </c>
      <c r="G118" s="10"/>
      <c r="H118" s="15">
        <f>IF(E118="","",IF(D118="Sì", 8-E118, E118))</f>
        <v>6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61.111111111111114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5</v>
      </c>
      <c r="F128" s="15"/>
      <c r="G128" s="10"/>
      <c r="H128" s="15">
        <f>IF(E128="","",IF(D128="Sì", 8-E128, E128))</f>
        <v>5</v>
      </c>
      <c r="I128" s="15" t="str">
        <f t="shared" si="11"/>
        <v/>
      </c>
      <c r="J128" s="10"/>
      <c r="K128" s="17" t="s">
        <v>72</v>
      </c>
      <c r="L128" s="15">
        <f>IFERROR(SUM(H126:H128),"")</f>
        <v>14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4</v>
      </c>
      <c r="F136" s="15">
        <v>6</v>
      </c>
      <c r="G136" s="10"/>
      <c r="H136" s="15">
        <f>IF(E136="","",IF(D136="Sì", 8-E136, E136))</f>
        <v>4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5</v>
      </c>
      <c r="M136" s="15">
        <f>IFERROR(AVERAGEIF(I136:I137,"&lt;&gt;"),"")</f>
        <v>6.5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6</v>
      </c>
      <c r="F137" s="15">
        <v>7</v>
      </c>
      <c r="G137" s="10"/>
      <c r="H137" s="15">
        <f>IF(E137="","",IF(D137="Sì", 8-E137, E137))</f>
        <v>6</v>
      </c>
      <c r="I137" s="15">
        <f>IF(F137="","",IF(D137="Sì", 8-F137, F137))</f>
        <v>7</v>
      </c>
      <c r="J137" s="10"/>
      <c r="K137" s="17" t="s">
        <v>69</v>
      </c>
      <c r="L137" s="15">
        <f>IF(L136="","",(L136-1)*100/6)</f>
        <v>66.666666666666671</v>
      </c>
      <c r="M137" s="15">
        <f>IF(M136="","",(M136-1)*100/6)</f>
        <v>91.666666666666671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10</v>
      </c>
      <c r="M138" s="15">
        <f>IFERROR(SUM(I136:I137),"")</f>
        <v>13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2</v>
      </c>
      <c r="F158" s="15">
        <v>3</v>
      </c>
      <c r="G158" s="10"/>
      <c r="H158" s="15">
        <f t="shared" ref="H158:H167" si="13">IF(E158="","",IF(D158="Sì", 5-E158, E158-1))</f>
        <v>1</v>
      </c>
      <c r="I158" s="15">
        <f>IF(F158="","",IF(D158="Sì", 5-F158, F158-1))</f>
        <v>2</v>
      </c>
      <c r="J158" s="10"/>
      <c r="K158" s="17" t="s">
        <v>186</v>
      </c>
      <c r="L158" s="15">
        <f>IFERROR(SUM(H158:H167),"")</f>
        <v>31</v>
      </c>
      <c r="M158" s="15">
        <f>IFERROR(SUM(I158:I167),"")</f>
        <v>34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2</v>
      </c>
      <c r="G159" s="10"/>
      <c r="H159" s="15">
        <f t="shared" si="13"/>
        <v>4</v>
      </c>
      <c r="I159" s="15">
        <f t="shared" ref="I159:I167" si="14">IF(F159="","",IF(D159="Sì", 5-F159, F159-1))</f>
        <v>3</v>
      </c>
      <c r="J159" s="10"/>
      <c r="K159" s="17" t="s">
        <v>189</v>
      </c>
      <c r="L159" s="15">
        <f>IF(L158="","", L158*2.5 )</f>
        <v>77.5</v>
      </c>
      <c r="M159" s="15">
        <f>IF(M158="","", M158*2.5 )</f>
        <v>85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4</v>
      </c>
      <c r="F160" s="15">
        <v>4</v>
      </c>
      <c r="G160" s="10"/>
      <c r="H160" s="15">
        <f t="shared" si="13"/>
        <v>3</v>
      </c>
      <c r="I160" s="15">
        <f t="shared" si="14"/>
        <v>3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3</v>
      </c>
      <c r="F162" s="15">
        <v>5</v>
      </c>
      <c r="G162" s="10"/>
      <c r="H162" s="15">
        <f t="shared" si="13"/>
        <v>2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4</v>
      </c>
      <c r="G164" s="10"/>
      <c r="H164" s="15">
        <f t="shared" si="13"/>
        <v>4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4</v>
      </c>
      <c r="F166" s="15">
        <v>4</v>
      </c>
      <c r="G166" s="10"/>
      <c r="H166" s="15">
        <f t="shared" si="13"/>
        <v>3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2</v>
      </c>
      <c r="F167" s="15">
        <v>1</v>
      </c>
      <c r="G167" s="10"/>
      <c r="H167" s="15">
        <f t="shared" si="13"/>
        <v>3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>
        <v>1</v>
      </c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>
        <v>1</v>
      </c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>
        <v>1</v>
      </c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>
        <v>2</v>
      </c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>
        <v>1</v>
      </c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F196" s="2" t="s">
        <v>278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454F5F07-DBD4-406C-9365-75E194A48099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A302077E-5BC9-44CC-BF86-0735753549AC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5DF66A88-38D3-48BB-A9DB-3C3C5E9778BE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F42462B3-A954-490D-AD4D-8004D1B9DB59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CD0FD432-4F49-4A3F-B20C-53F22D819E4F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C0C3D762-22EF-490C-A145-964DAC577A03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83DDE-9C6D-410A-9DF1-F4BD8B1F0B32}">
  <dimension ref="B1:Q205"/>
  <sheetViews>
    <sheetView topLeftCell="A183" zoomScale="107" zoomScaleNormal="70" workbookViewId="0">
      <selection activeCell="F71" sqref="F71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9.664062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279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21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3.9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3</v>
      </c>
      <c r="F20" s="5">
        <f t="shared" ref="F20:F29" si="0">IF(E20="","",IF(D20="Sì", 8-E20, E20))</f>
        <v>3</v>
      </c>
      <c r="G20" s="5"/>
      <c r="H20" s="3"/>
      <c r="I20" s="9" t="s">
        <v>32</v>
      </c>
      <c r="J20" s="5">
        <f>IF(J19="","",( J19-1 )*100/6)</f>
        <v>48.333333333333336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39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6</v>
      </c>
      <c r="F22" s="5">
        <f t="shared" si="0"/>
        <v>6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3</v>
      </c>
      <c r="F23" s="5">
        <f t="shared" si="0"/>
        <v>3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4</v>
      </c>
      <c r="F24" s="5">
        <f t="shared" si="0"/>
        <v>4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4</v>
      </c>
      <c r="F25" s="5">
        <f t="shared" si="0"/>
        <v>4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5</v>
      </c>
      <c r="F27" s="5">
        <f t="shared" si="0"/>
        <v>5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4</v>
      </c>
      <c r="F28" s="5">
        <f t="shared" si="0"/>
        <v>4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5</v>
      </c>
      <c r="F29" s="5">
        <f t="shared" si="0"/>
        <v>3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4.8</v>
      </c>
      <c r="M38" s="15">
        <f>IFERROR(AVERAGEIF(I38:I47,"&lt;&gt;"),"")</f>
        <v>5.0999999999999996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5</v>
      </c>
      <c r="G39" s="10"/>
      <c r="H39" s="15">
        <f t="shared" si="1"/>
        <v>5</v>
      </c>
      <c r="I39" s="15">
        <f t="shared" si="2"/>
        <v>5</v>
      </c>
      <c r="J39" s="10"/>
      <c r="K39" s="17" t="s">
        <v>69</v>
      </c>
      <c r="L39" s="15">
        <f>IF(L38="","",(L38-1)*100/6)</f>
        <v>63.333333333333336</v>
      </c>
      <c r="M39" s="15">
        <f>IF(M38="","",(M38-1)*100/6)</f>
        <v>68.333333333333329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4</v>
      </c>
      <c r="G40" s="10"/>
      <c r="H40" s="15">
        <f t="shared" si="1"/>
        <v>3</v>
      </c>
      <c r="I40" s="15">
        <f t="shared" si="2"/>
        <v>4</v>
      </c>
      <c r="J40" s="10"/>
      <c r="K40" s="17" t="s">
        <v>72</v>
      </c>
      <c r="L40" s="15">
        <f>IFERROR(SUM(H38:H47),"")</f>
        <v>48</v>
      </c>
      <c r="M40" s="15">
        <f>IFERROR(SUM(H38:H47),"")</f>
        <v>48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7</v>
      </c>
      <c r="G42" s="10"/>
      <c r="H42" s="15">
        <f t="shared" si="1"/>
        <v>5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6</v>
      </c>
      <c r="F43" s="15">
        <v>6</v>
      </c>
      <c r="G43" s="10"/>
      <c r="H43" s="15">
        <f t="shared" si="1"/>
        <v>6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3</v>
      </c>
      <c r="G44" s="10"/>
      <c r="H44" s="15">
        <f t="shared" si="1"/>
        <v>3</v>
      </c>
      <c r="I44" s="15">
        <f t="shared" si="2"/>
        <v>3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5</v>
      </c>
      <c r="F45" s="15">
        <v>5</v>
      </c>
      <c r="G45" s="10"/>
      <c r="H45" s="15">
        <f t="shared" si="1"/>
        <v>3</v>
      </c>
      <c r="I45" s="15">
        <f t="shared" si="2"/>
        <v>3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6</v>
      </c>
      <c r="F47" s="15">
        <v>6</v>
      </c>
      <c r="G47" s="10"/>
      <c r="H47" s="15">
        <f t="shared" si="1"/>
        <v>6</v>
      </c>
      <c r="I47" s="15">
        <f t="shared" si="2"/>
        <v>6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6</v>
      </c>
      <c r="F55" s="15">
        <v>6</v>
      </c>
      <c r="G55" s="10"/>
      <c r="H55" s="15">
        <f t="shared" ref="H55:H60" si="3">IF(E55="","",IF(D55="Sì", 8-E55, E55))</f>
        <v>6</v>
      </c>
      <c r="I55" s="15">
        <f>IF(F55="","",IF(D55="Sì", 8-F55, F55))</f>
        <v>6</v>
      </c>
      <c r="J55" s="10"/>
      <c r="K55" s="17" t="s">
        <v>66</v>
      </c>
      <c r="L55" s="15">
        <f>IFERROR(AVERAGEIF(H55:H60,"&lt;&gt;"),"")</f>
        <v>4.666666666666667</v>
      </c>
      <c r="M55" s="15">
        <f>IFERROR(AVERAGEIF(I55:I60,"&lt;&gt;"),"")</f>
        <v>4.5999999999999996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4</v>
      </c>
      <c r="F56" s="15">
        <v>4</v>
      </c>
      <c r="G56" s="10"/>
      <c r="H56" s="15">
        <f t="shared" si="3"/>
        <v>4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61.111111111111114</v>
      </c>
      <c r="M56" s="15">
        <f>IF(M55="","",(M55-1)*100/6)</f>
        <v>59.999999999999993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3</v>
      </c>
      <c r="F57" s="15">
        <v>3</v>
      </c>
      <c r="G57" s="10"/>
      <c r="H57" s="15">
        <f t="shared" si="3"/>
        <v>3</v>
      </c>
      <c r="I57" s="15">
        <f t="shared" si="4"/>
        <v>3</v>
      </c>
      <c r="J57" s="10"/>
      <c r="K57" s="17" t="s">
        <v>72</v>
      </c>
      <c r="L57" s="15">
        <f>IFERROR(SUM(H55:H60),"")</f>
        <v>28</v>
      </c>
      <c r="M57" s="15">
        <f>IFERROR(SUM(I55:I60),"")</f>
        <v>23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5</v>
      </c>
      <c r="G58" s="10"/>
      <c r="H58" s="15">
        <f t="shared" si="3"/>
        <v>3</v>
      </c>
      <c r="I58" s="15">
        <f t="shared" si="4"/>
        <v>3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3</v>
      </c>
      <c r="F68" s="15">
        <v>4</v>
      </c>
      <c r="G68" s="10"/>
      <c r="H68" s="15">
        <f>IF(E68="","",IF(D68="Sì", 8-E68, E68))</f>
        <v>3</v>
      </c>
      <c r="I68" s="15">
        <f>IF(F68="","",IF(D68="Sì", 8-F68, F68))</f>
        <v>4</v>
      </c>
      <c r="J68" s="10"/>
      <c r="K68" s="17" t="s">
        <v>66</v>
      </c>
      <c r="L68" s="15">
        <f>IFERROR(AVERAGEIF(H68:H70,"&lt;&gt;"),"")</f>
        <v>4</v>
      </c>
      <c r="M68" s="15">
        <f>IFERROR(AVERAGEIF(I68:I70,"&lt;&gt;"),"")</f>
        <v>4.666666666666667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4</v>
      </c>
      <c r="G69" s="10"/>
      <c r="H69" s="15">
        <f>IF(E69="","",IF(D69="Sì", 8-E69, E69))</f>
        <v>4</v>
      </c>
      <c r="I69" s="15">
        <f t="shared" ref="I69:I70" si="5">IF(F69="","",IF(D69="Sì", 8-F69, F69))</f>
        <v>4</v>
      </c>
      <c r="J69" s="10"/>
      <c r="K69" s="17" t="s">
        <v>69</v>
      </c>
      <c r="L69" s="15">
        <f>IF(L68="","",(L68-1)*100/6)</f>
        <v>50</v>
      </c>
      <c r="M69" s="15">
        <f>IF(M68="","",(M68-1)*100/6)</f>
        <v>61.111111111111114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3</v>
      </c>
      <c r="F70" s="15">
        <v>2</v>
      </c>
      <c r="G70" s="10"/>
      <c r="H70" s="15">
        <f>IF(E70="","",IF(D70="Sì", 8-E70, E70))</f>
        <v>5</v>
      </c>
      <c r="I70" s="15">
        <f t="shared" si="5"/>
        <v>6</v>
      </c>
      <c r="J70" s="10"/>
      <c r="K70" s="17" t="s">
        <v>72</v>
      </c>
      <c r="L70" s="15">
        <f>IFERROR(SUM(H68:H70),"")</f>
        <v>12</v>
      </c>
      <c r="M70" s="15">
        <f>IFERROR(SUM(I68:I70),"")</f>
        <v>14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5</v>
      </c>
      <c r="G78" s="10"/>
      <c r="H78" s="15">
        <f t="shared" ref="H78:H83" si="6">IF(E78="","",IF(D78="Sì", 8-E78, E78))</f>
        <v>3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1.8333333333333333</v>
      </c>
      <c r="M78" s="15">
        <f>IFERROR(AVERAGEIF(I78:I83,"&lt;&gt;"),"")</f>
        <v>2.6666666666666665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1</v>
      </c>
      <c r="F79" s="15">
        <v>1</v>
      </c>
      <c r="G79" s="10"/>
      <c r="H79" s="15">
        <f t="shared" si="6"/>
        <v>1</v>
      </c>
      <c r="I79" s="15">
        <f t="shared" ref="I79:I83" si="7">IF(F79="","",IF(D79="Sì", 8-F79, F79))</f>
        <v>1</v>
      </c>
      <c r="J79" s="10"/>
      <c r="K79" s="17" t="s">
        <v>69</v>
      </c>
      <c r="L79" s="15">
        <f>IF(L78="","",(L78-1)*100/6)</f>
        <v>13.888888888888888</v>
      </c>
      <c r="M79" s="15">
        <f>IF(M78="","",(M78-1)*100/6)</f>
        <v>27.777777777777775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2</v>
      </c>
      <c r="F80" s="15">
        <v>2</v>
      </c>
      <c r="G80" s="10"/>
      <c r="H80" s="15">
        <f t="shared" si="6"/>
        <v>2</v>
      </c>
      <c r="I80" s="15">
        <f t="shared" si="7"/>
        <v>2</v>
      </c>
      <c r="J80" s="10"/>
      <c r="K80" s="17" t="s">
        <v>72</v>
      </c>
      <c r="L80" s="15">
        <f>IFERROR(SUM(H78:H83),"")</f>
        <v>11</v>
      </c>
      <c r="M80" s="15">
        <f>IFERROR(SUM(I78:I83),"")</f>
        <v>16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1</v>
      </c>
      <c r="G81" s="10"/>
      <c r="H81" s="15">
        <f t="shared" si="6"/>
        <v>1</v>
      </c>
      <c r="I81" s="15">
        <f t="shared" si="7"/>
        <v>1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2</v>
      </c>
      <c r="F82" s="15">
        <v>2</v>
      </c>
      <c r="G82" s="10"/>
      <c r="H82" s="15">
        <f t="shared" si="6"/>
        <v>2</v>
      </c>
      <c r="I82" s="15">
        <f t="shared" si="7"/>
        <v>2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3</v>
      </c>
      <c r="G83" s="10"/>
      <c r="H83" s="15">
        <f t="shared" si="6"/>
        <v>2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6</v>
      </c>
      <c r="F91" s="15">
        <v>6</v>
      </c>
      <c r="G91" s="10"/>
      <c r="H91" s="15">
        <f>IF(E91="","",IF(D91="Sì", 8-E91, E91))</f>
        <v>6</v>
      </c>
      <c r="I91" s="15">
        <f>IF(F91="","",IF(D91="Sì", 8-F91, F91))</f>
        <v>6</v>
      </c>
      <c r="J91" s="10"/>
      <c r="K91" s="17" t="s">
        <v>66</v>
      </c>
      <c r="L91" s="15">
        <f>IFERROR(AVERAGEIF(H91:H95,"&lt;&gt;"),"")</f>
        <v>5.6</v>
      </c>
      <c r="M91" s="15">
        <f>IFERROR(AVERAGEIF(I91:I95,"&lt;&gt;"),"")</f>
        <v>5.2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3</v>
      </c>
      <c r="G92" s="10"/>
      <c r="H92" s="15">
        <f>IF(E92="","",IF(D92="Sì", 8-E92, E92))</f>
        <v>7</v>
      </c>
      <c r="I92" s="15">
        <f t="shared" ref="I92:I95" si="8">IF(F92="","",IF(D92="Sì", 8-F92, F92))</f>
        <v>5</v>
      </c>
      <c r="J92" s="10"/>
      <c r="K92" s="17" t="s">
        <v>69</v>
      </c>
      <c r="L92" s="15">
        <f>IF(L91="","",(L91-1)*100/6)</f>
        <v>76.666666666666657</v>
      </c>
      <c r="M92" s="15">
        <f>IF(M91="","",(M91-1)*100/6)</f>
        <v>70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2</v>
      </c>
      <c r="G93" s="10"/>
      <c r="H93" s="15">
        <f>IF(E93="","",IF(D93="Sì", 8-E93, E93))</f>
        <v>6</v>
      </c>
      <c r="I93" s="15">
        <f t="shared" si="8"/>
        <v>6</v>
      </c>
      <c r="J93" s="10"/>
      <c r="K93" s="17" t="s">
        <v>72</v>
      </c>
      <c r="L93" s="15">
        <f>IFERROR(SUM(H91:H95),"")</f>
        <v>28</v>
      </c>
      <c r="M93" s="15">
        <f>IFERROR(SUM(I91:I95),"")</f>
        <v>26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3</v>
      </c>
      <c r="G94" s="10"/>
      <c r="H94" s="15">
        <f>IF(E94="","",IF(D94="Sì", 8-E94, E94))</f>
        <v>4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3</v>
      </c>
      <c r="F95" s="15">
        <v>2</v>
      </c>
      <c r="G95" s="10"/>
      <c r="H95" s="15">
        <f>IF(E95="","",IF(D95="Sì", 8-E95, E95))</f>
        <v>5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5</v>
      </c>
      <c r="F103" s="15"/>
      <c r="G103" s="10"/>
      <c r="H103" s="15">
        <f>IF(E103="","",IF(D103="Sì", 8-E103, E103))</f>
        <v>5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4.8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4</v>
      </c>
      <c r="F104" s="15"/>
      <c r="G104" s="10"/>
      <c r="H104" s="15">
        <f>IF(E104="","",IF(D104="Sì", 8-E104, E104))</f>
        <v>4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63.333333333333336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24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5</v>
      </c>
      <c r="F106" s="15"/>
      <c r="G106" s="10"/>
      <c r="H106" s="15">
        <f>IF(E106="","",IF(D106="Sì", 8-E106, E106))</f>
        <v>5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3</v>
      </c>
      <c r="G107" s="10"/>
      <c r="H107" s="15">
        <f>IF(E107="","",IF(D107="Sì", 8-E107, E107))</f>
        <v>3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4</v>
      </c>
      <c r="G115" s="10"/>
      <c r="H115" s="15">
        <f>IF(E115="","",IF(D115="Sì", 8-E115, E115))</f>
        <v>7</v>
      </c>
      <c r="I115" s="15">
        <f>IF(F115="","",IF(D115="Sì", 8-F115, F115))</f>
        <v>4</v>
      </c>
      <c r="J115" s="10"/>
      <c r="K115" s="17" t="s">
        <v>66</v>
      </c>
      <c r="L115" s="15">
        <f>IFERROR(AVERAGEIF(H115:H118,"&lt;&gt;"),"")</f>
        <v>6</v>
      </c>
      <c r="M115" s="15">
        <f>IFERROR(AVERAGEIF(I115:I118,"&lt;&gt;"),"")</f>
        <v>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5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83.333333333333329</v>
      </c>
      <c r="M116" s="15">
        <f>IF(M115="","",(M115-1)*100/6)</f>
        <v>66.666666666666671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4</v>
      </c>
      <c r="G117" s="10"/>
      <c r="H117" s="15">
        <f>IF(E117="","",IF(D117="Sì", 8-E117, E117))</f>
        <v>6</v>
      </c>
      <c r="I117" s="15">
        <f t="shared" si="10"/>
        <v>4</v>
      </c>
      <c r="J117" s="10"/>
      <c r="K117" s="17" t="s">
        <v>72</v>
      </c>
      <c r="L117" s="15">
        <f>IFERROR(SUM(H115:H118),"")</f>
        <v>24</v>
      </c>
      <c r="M117" s="15">
        <f>IFERROR(SUM(I115:I118),"")</f>
        <v>20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6</v>
      </c>
      <c r="F118" s="15">
        <v>7</v>
      </c>
      <c r="G118" s="10"/>
      <c r="H118" s="15">
        <f>IF(E118="","",IF(D118="Sì", 8-E118, E118))</f>
        <v>6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66.666666666666671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15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7</v>
      </c>
      <c r="G136" s="10"/>
      <c r="H136" s="15">
        <f>IF(E136="","",IF(D136="Sì", 8-E136, E136))</f>
        <v>7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7</v>
      </c>
      <c r="M136" s="15">
        <f>IFERROR(AVERAGEIF(I136:I137,"&lt;&gt;"),"")</f>
        <v>7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7</v>
      </c>
      <c r="F137" s="15">
        <v>7</v>
      </c>
      <c r="G137" s="10"/>
      <c r="H137" s="15">
        <f>IF(E137="","",IF(D137="Sì", 8-E137, E137))</f>
        <v>7</v>
      </c>
      <c r="I137" s="15">
        <f>IF(F137="","",IF(D137="Sì", 8-F137, F137))</f>
        <v>7</v>
      </c>
      <c r="J137" s="10"/>
      <c r="K137" s="17" t="s">
        <v>69</v>
      </c>
      <c r="L137" s="15">
        <f>IF(L136="","",(L136-1)*100/6)</f>
        <v>100</v>
      </c>
      <c r="M137" s="15">
        <f>IF(M136="","",(M136-1)*100/6)</f>
        <v>100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14</v>
      </c>
      <c r="M138" s="15">
        <f>IFERROR(SUM(I136:I137),"")</f>
        <v>14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5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34</v>
      </c>
      <c r="M158" s="15">
        <f>IFERROR(SUM(I158:I167),"")</f>
        <v>37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85</v>
      </c>
      <c r="M159" s="15">
        <f>IF(M158="","", M158*2.5 )</f>
        <v>92.5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4</v>
      </c>
      <c r="G162" s="10"/>
      <c r="H162" s="15">
        <f t="shared" si="13"/>
        <v>3</v>
      </c>
      <c r="I162" s="15">
        <f t="shared" si="14"/>
        <v>3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4</v>
      </c>
      <c r="G164" s="10"/>
      <c r="H164" s="15">
        <f t="shared" si="13"/>
        <v>4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1</v>
      </c>
      <c r="G165" s="10"/>
      <c r="H165" s="15">
        <f t="shared" si="13"/>
        <v>3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4</v>
      </c>
      <c r="F166" s="15">
        <v>4</v>
      </c>
      <c r="G166" s="10"/>
      <c r="H166" s="15">
        <f t="shared" si="13"/>
        <v>3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3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2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0.66666666666666663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2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280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8E63DEBA-F26B-4975-97FD-4F0F1A9B64C7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E32DB4E4-2040-48DA-8F84-710AE737E456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9A92762E-554E-4399-AA37-99DAA884D8E4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87267383-D105-4555-A916-C75860857FC8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27AE2BD6-827D-42A4-AB9B-8A871799981E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3F86F1B9-F361-45A5-B888-C26A2B5A80B2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29A0B-E2A1-447C-8292-BB6D272F80DF}">
  <dimension ref="B1:Q205"/>
  <sheetViews>
    <sheetView topLeftCell="B184" zoomScale="119" zoomScaleNormal="40" workbookViewId="0">
      <selection activeCell="F71" sqref="F71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7.5546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281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31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2.4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23.333333333333332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4</v>
      </c>
      <c r="F21" s="5">
        <f t="shared" si="0"/>
        <v>4</v>
      </c>
      <c r="G21" s="5"/>
      <c r="H21" s="3"/>
      <c r="I21" s="9" t="s">
        <v>35</v>
      </c>
      <c r="J21" s="5">
        <f>IFERROR(SUM(F20:F29),"")</f>
        <v>24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2</v>
      </c>
      <c r="F22" s="5">
        <f t="shared" si="0"/>
        <v>2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1</v>
      </c>
      <c r="F23" s="5">
        <f t="shared" si="0"/>
        <v>1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1</v>
      </c>
      <c r="F24" s="5">
        <f t="shared" si="0"/>
        <v>1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1</v>
      </c>
      <c r="F26" s="5">
        <f t="shared" si="0"/>
        <v>1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3</v>
      </c>
      <c r="F27" s="5">
        <f t="shared" si="0"/>
        <v>3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4</v>
      </c>
      <c r="F28" s="5">
        <f t="shared" si="0"/>
        <v>4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5</v>
      </c>
      <c r="F29" s="5">
        <f t="shared" si="0"/>
        <v>3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6</v>
      </c>
      <c r="F38" s="15">
        <v>6</v>
      </c>
      <c r="G38" s="10"/>
      <c r="H38" s="15">
        <f t="shared" ref="H38:H47" si="1">IF(E38="","",IF(D38="Sì", 8-E38, E38))</f>
        <v>6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4.7</v>
      </c>
      <c r="M38" s="15">
        <f>IFERROR(AVERAGEIF(I38:I47,"&lt;&gt;"),"")</f>
        <v>5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7</v>
      </c>
      <c r="G39" s="10"/>
      <c r="H39" s="15">
        <f t="shared" si="1"/>
        <v>6</v>
      </c>
      <c r="I39" s="15">
        <f t="shared" si="2"/>
        <v>7</v>
      </c>
      <c r="J39" s="10"/>
      <c r="K39" s="17" t="s">
        <v>69</v>
      </c>
      <c r="L39" s="15">
        <f>IF(L38="","",(L38-1)*100/6)</f>
        <v>61.666666666666664</v>
      </c>
      <c r="M39" s="15">
        <f>IF(M38="","",(M38-1)*100/6)</f>
        <v>66.666666666666671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7</v>
      </c>
      <c r="F40" s="15">
        <v>7</v>
      </c>
      <c r="G40" s="10"/>
      <c r="H40" s="15">
        <f t="shared" si="1"/>
        <v>1</v>
      </c>
      <c r="I40" s="15">
        <f t="shared" si="2"/>
        <v>1</v>
      </c>
      <c r="J40" s="10"/>
      <c r="K40" s="17" t="s">
        <v>72</v>
      </c>
      <c r="L40" s="15">
        <f>IFERROR(SUM(H38:H47),"")</f>
        <v>47</v>
      </c>
      <c r="M40" s="15">
        <f>IFERROR(SUM(H38:H47),"")</f>
        <v>47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7</v>
      </c>
      <c r="G41" s="10"/>
      <c r="H41" s="15">
        <f t="shared" si="1"/>
        <v>6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7</v>
      </c>
      <c r="F42" s="15">
        <v>7</v>
      </c>
      <c r="G42" s="10"/>
      <c r="H42" s="15">
        <f t="shared" si="1"/>
        <v>7</v>
      </c>
      <c r="I42" s="15">
        <f t="shared" si="2"/>
        <v>7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5</v>
      </c>
      <c r="G43" s="10"/>
      <c r="H43" s="15">
        <f t="shared" si="1"/>
        <v>5</v>
      </c>
      <c r="I43" s="15">
        <f t="shared" si="2"/>
        <v>5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5</v>
      </c>
      <c r="F44" s="15">
        <v>5</v>
      </c>
      <c r="G44" s="10"/>
      <c r="H44" s="15">
        <f t="shared" si="1"/>
        <v>5</v>
      </c>
      <c r="I44" s="15">
        <f t="shared" si="2"/>
        <v>5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3</v>
      </c>
      <c r="G45" s="10"/>
      <c r="H45" s="15">
        <f t="shared" si="1"/>
        <v>5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4</v>
      </c>
      <c r="F46" s="15">
        <v>5</v>
      </c>
      <c r="G46" s="10"/>
      <c r="H46" s="15">
        <f t="shared" si="1"/>
        <v>4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2</v>
      </c>
      <c r="F47" s="15">
        <v>2</v>
      </c>
      <c r="G47" s="10"/>
      <c r="H47" s="15">
        <f t="shared" si="1"/>
        <v>2</v>
      </c>
      <c r="I47" s="15">
        <f t="shared" si="2"/>
        <v>2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5.5</v>
      </c>
      <c r="M55" s="15">
        <f>IFERROR(AVERAGEIF(I55:I60,"&lt;&gt;"),"")</f>
        <v>4.5999999999999996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5</v>
      </c>
      <c r="F56" s="15">
        <v>3</v>
      </c>
      <c r="G56" s="10"/>
      <c r="H56" s="15">
        <f t="shared" si="3"/>
        <v>5</v>
      </c>
      <c r="I56" s="15">
        <f t="shared" ref="I56:I60" si="4">IF(F56="","",IF(D56="Sì", 8-F56, F56))</f>
        <v>3</v>
      </c>
      <c r="J56" s="10"/>
      <c r="K56" s="17" t="s">
        <v>69</v>
      </c>
      <c r="L56" s="15">
        <f>IF(L55="","",(L55-1)*100/6)</f>
        <v>75</v>
      </c>
      <c r="M56" s="15">
        <f>IF(M55="","",(M55-1)*100/6)</f>
        <v>59.999999999999993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5</v>
      </c>
      <c r="G57" s="10"/>
      <c r="H57" s="15">
        <f t="shared" si="3"/>
        <v>7</v>
      </c>
      <c r="I57" s="15">
        <f t="shared" si="4"/>
        <v>5</v>
      </c>
      <c r="J57" s="10"/>
      <c r="K57" s="17" t="s">
        <v>72</v>
      </c>
      <c r="L57" s="15">
        <f>IFERROR(SUM(H55:H60),"")</f>
        <v>33</v>
      </c>
      <c r="M57" s="15">
        <f>IFERROR(SUM(I55:I60),"")</f>
        <v>23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7</v>
      </c>
      <c r="G58" s="10"/>
      <c r="H58" s="15">
        <f t="shared" si="3"/>
        <v>5</v>
      </c>
      <c r="I58" s="15">
        <f t="shared" si="4"/>
        <v>1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2</v>
      </c>
      <c r="F60" s="15"/>
      <c r="G60" s="10"/>
      <c r="H60" s="15">
        <f t="shared" si="3"/>
        <v>2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6</v>
      </c>
      <c r="G68" s="10"/>
      <c r="H68" s="15">
        <f>IF(E68="","",IF(D68="Sì", 8-E68, E68))</f>
        <v>5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5.333333333333333</v>
      </c>
      <c r="M68" s="15">
        <f>IFERROR(AVERAGEIF(I68:I70,"&lt;&gt;"),"")</f>
        <v>6.333333333333333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5</v>
      </c>
      <c r="F69" s="15">
        <v>6</v>
      </c>
      <c r="G69" s="10"/>
      <c r="H69" s="15">
        <f>IF(E69="","",IF(D69="Sì", 8-E69, E69))</f>
        <v>5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72.222222222222214</v>
      </c>
      <c r="M69" s="15">
        <f>IF(M68="","",(M68-1)*100/6)</f>
        <v>88.888888888888872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1</v>
      </c>
      <c r="G70" s="10"/>
      <c r="H70" s="15">
        <f>IF(E70="","",IF(D70="Sì", 8-E70, E70))</f>
        <v>6</v>
      </c>
      <c r="I70" s="15">
        <f t="shared" si="5"/>
        <v>7</v>
      </c>
      <c r="J70" s="10"/>
      <c r="K70" s="17" t="s">
        <v>72</v>
      </c>
      <c r="L70" s="15">
        <f>IFERROR(SUM(H68:H70),"")</f>
        <v>16</v>
      </c>
      <c r="M70" s="15">
        <f>IFERROR(SUM(I68:I70),"")</f>
        <v>19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1</v>
      </c>
      <c r="G78" s="10"/>
      <c r="H78" s="15">
        <f t="shared" ref="H78:H83" si="6">IF(E78="","",IF(D78="Sì", 8-E78, E78))</f>
        <v>1</v>
      </c>
      <c r="I78" s="15">
        <f>IF(F78="","",IF(D78="Sì", 8-F78, F78))</f>
        <v>1</v>
      </c>
      <c r="J78" s="10"/>
      <c r="K78" s="17" t="s">
        <v>66</v>
      </c>
      <c r="L78" s="15">
        <f>IFERROR(AVERAGEIF(H78:H83,"&lt;&gt;"),"")</f>
        <v>1.8333333333333333</v>
      </c>
      <c r="M78" s="15">
        <f>IFERROR(AVERAGEIF(I78:I83,"&lt;&gt;"),"")</f>
        <v>2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1</v>
      </c>
      <c r="F79" s="15">
        <v>1</v>
      </c>
      <c r="G79" s="10"/>
      <c r="H79" s="15">
        <f t="shared" si="6"/>
        <v>1</v>
      </c>
      <c r="I79" s="15">
        <f t="shared" ref="I79:I83" si="7">IF(F79="","",IF(D79="Sì", 8-F79, F79))</f>
        <v>1</v>
      </c>
      <c r="J79" s="10"/>
      <c r="K79" s="17" t="s">
        <v>69</v>
      </c>
      <c r="L79" s="15">
        <f>IF(L78="","",(L78-1)*100/6)</f>
        <v>13.888888888888888</v>
      </c>
      <c r="M79" s="15">
        <f>IF(M78="","",(M78-1)*100/6)</f>
        <v>16.666666666666668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1</v>
      </c>
      <c r="F80" s="15">
        <v>1</v>
      </c>
      <c r="G80" s="10"/>
      <c r="H80" s="15">
        <f t="shared" si="6"/>
        <v>1</v>
      </c>
      <c r="I80" s="15">
        <f t="shared" si="7"/>
        <v>1</v>
      </c>
      <c r="J80" s="10"/>
      <c r="K80" s="17" t="s">
        <v>72</v>
      </c>
      <c r="L80" s="15">
        <f>IFERROR(SUM(H78:H83),"")</f>
        <v>11</v>
      </c>
      <c r="M80" s="15">
        <f>IFERROR(SUM(I78:I83),"")</f>
        <v>12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1</v>
      </c>
      <c r="G81" s="10"/>
      <c r="H81" s="15">
        <f t="shared" si="6"/>
        <v>2</v>
      </c>
      <c r="I81" s="15">
        <f t="shared" si="7"/>
        <v>1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4</v>
      </c>
      <c r="F82" s="15">
        <v>3</v>
      </c>
      <c r="G82" s="10"/>
      <c r="H82" s="15">
        <f t="shared" si="6"/>
        <v>4</v>
      </c>
      <c r="I82" s="15">
        <f t="shared" si="7"/>
        <v>3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3</v>
      </c>
      <c r="G83" s="10"/>
      <c r="H83" s="15">
        <f t="shared" si="6"/>
        <v>2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6</v>
      </c>
      <c r="M91" s="15">
        <f>IFERROR(AVERAGEIF(I91:I95,"&lt;&gt;"),"")</f>
        <v>5.4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4</v>
      </c>
      <c r="G92" s="10"/>
      <c r="H92" s="15">
        <f>IF(E92="","",IF(D92="Sì", 8-E92, E92))</f>
        <v>7</v>
      </c>
      <c r="I92" s="15">
        <f t="shared" ref="I92:I95" si="8">IF(F92="","",IF(D92="Sì", 8-F92, F92))</f>
        <v>4</v>
      </c>
      <c r="J92" s="10"/>
      <c r="K92" s="17" t="s">
        <v>69</v>
      </c>
      <c r="L92" s="15">
        <f>IF(L91="","",(L91-1)*100/6)</f>
        <v>83.333333333333329</v>
      </c>
      <c r="M92" s="15">
        <f>IF(M91="","",(M91-1)*100/6)</f>
        <v>73.333333333333343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1</v>
      </c>
      <c r="G93" s="10"/>
      <c r="H93" s="15">
        <f>IF(E93="","",IF(D93="Sì", 8-E93, E93))</f>
        <v>7</v>
      </c>
      <c r="I93" s="15">
        <f t="shared" si="8"/>
        <v>7</v>
      </c>
      <c r="J93" s="10"/>
      <c r="K93" s="17" t="s">
        <v>72</v>
      </c>
      <c r="L93" s="15">
        <f>IFERROR(SUM(H91:H95),"")</f>
        <v>30</v>
      </c>
      <c r="M93" s="15">
        <f>IFERROR(SUM(I91:I95),"")</f>
        <v>27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4</v>
      </c>
      <c r="G94" s="10"/>
      <c r="H94" s="15">
        <f>IF(E94="","",IF(D94="Sì", 8-E94, E94))</f>
        <v>4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3</v>
      </c>
      <c r="F95" s="15">
        <v>3</v>
      </c>
      <c r="G95" s="10"/>
      <c r="H95" s="15">
        <f>IF(E95="","",IF(D95="Sì", 8-E95, E95))</f>
        <v>5</v>
      </c>
      <c r="I95" s="15">
        <f t="shared" si="8"/>
        <v>5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5</v>
      </c>
      <c r="F103" s="15"/>
      <c r="G103" s="10"/>
      <c r="H103" s="15">
        <f>IF(E103="","",IF(D103="Sì", 8-E103, E103))</f>
        <v>5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5.4</v>
      </c>
      <c r="M103" s="15">
        <f>IFERROR(AVERAGEIF(I103:I107,"&lt;&gt;"),"")</f>
        <v>4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73.333333333333343</v>
      </c>
      <c r="M104" s="15">
        <f>IF(M103="","",(M103-1)*100/6)</f>
        <v>50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27</v>
      </c>
      <c r="M105" s="15">
        <f>IFERROR(SUM(I103:I107),"")</f>
        <v>4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5</v>
      </c>
      <c r="F106" s="15"/>
      <c r="G106" s="10"/>
      <c r="H106" s="15">
        <f>IF(E106="","",IF(D106="Sì", 8-E106, E106))</f>
        <v>5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5</v>
      </c>
      <c r="F107" s="15">
        <v>4</v>
      </c>
      <c r="G107" s="10"/>
      <c r="H107" s="15">
        <f>IF(E107="","",IF(D107="Sì", 8-E107, E107))</f>
        <v>5</v>
      </c>
      <c r="I107" s="15">
        <f>IF(F107="","",IF(D107="Sì", 8-F107, F107))</f>
        <v>4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2</v>
      </c>
      <c r="F115" s="15">
        <v>1</v>
      </c>
      <c r="G115" s="10"/>
      <c r="H115" s="15">
        <f>IF(E115="","",IF(D115="Sì", 8-E115, E115))</f>
        <v>6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6.5</v>
      </c>
      <c r="M115" s="15">
        <f>IFERROR(AVERAGEIF(I115:I118,"&lt;&gt;"),"")</f>
        <v>6.75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6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6</v>
      </c>
      <c r="J116" s="10"/>
      <c r="K116" s="17" t="s">
        <v>69</v>
      </c>
      <c r="L116" s="15">
        <f>IF(L115="","",(L115-1)*100/6)</f>
        <v>91.666666666666671</v>
      </c>
      <c r="M116" s="15">
        <f>IF(M115="","",(M115-1)*100/6)</f>
        <v>95.833333333333329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26</v>
      </c>
      <c r="M117" s="15">
        <f>IFERROR(SUM(I115:I118),"")</f>
        <v>27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66.666666666666671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15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6</v>
      </c>
      <c r="F136" s="15">
        <v>7</v>
      </c>
      <c r="G136" s="10"/>
      <c r="H136" s="15">
        <f>IF(E136="","",IF(D136="Sì", 8-E136, E136))</f>
        <v>6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6</v>
      </c>
      <c r="M136" s="15">
        <f>IFERROR(AVERAGEIF(I136:I137,"&lt;&gt;"),"")</f>
        <v>7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6</v>
      </c>
      <c r="F137" s="15">
        <v>7</v>
      </c>
      <c r="G137" s="10"/>
      <c r="H137" s="15">
        <f>IF(E137="","",IF(D137="Sì", 8-E137, E137))</f>
        <v>6</v>
      </c>
      <c r="I137" s="15">
        <f>IF(F137="","",IF(D137="Sì", 8-F137, F137))</f>
        <v>7</v>
      </c>
      <c r="J137" s="10"/>
      <c r="K137" s="17" t="s">
        <v>69</v>
      </c>
      <c r="L137" s="15">
        <f>IF(L136="","",(L136-1)*100/6)</f>
        <v>83.333333333333329</v>
      </c>
      <c r="M137" s="15">
        <f>IF(M136="","",(M136-1)*100/6)</f>
        <v>100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12</v>
      </c>
      <c r="M138" s="15">
        <f>IFERROR(SUM(I136:I137),"")</f>
        <v>14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4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38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95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5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5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5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5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5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5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5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5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5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5" ht="18" x14ac:dyDescent="0.3">
      <c r="B171" s="1" t="s">
        <v>206</v>
      </c>
      <c r="K171" s="161"/>
      <c r="L171" s="162"/>
      <c r="M171" s="163"/>
    </row>
    <row r="172" spans="2:15" x14ac:dyDescent="0.3">
      <c r="K172" s="17"/>
      <c r="L172" s="165"/>
      <c r="M172" s="166"/>
    </row>
    <row r="173" spans="2:15" ht="18" x14ac:dyDescent="0.3">
      <c r="B173" s="21" t="s">
        <v>208</v>
      </c>
      <c r="C173" s="21"/>
      <c r="D173" s="21"/>
      <c r="E173" s="21"/>
      <c r="F173" s="21"/>
      <c r="O173" s="30"/>
    </row>
    <row r="174" spans="2:15" x14ac:dyDescent="0.3">
      <c r="B174" s="22"/>
      <c r="C174" s="22"/>
      <c r="D174" s="22"/>
      <c r="E174" s="22"/>
      <c r="F174" s="22"/>
    </row>
    <row r="175" spans="2:15" x14ac:dyDescent="0.3">
      <c r="B175" s="23" t="s">
        <v>209</v>
      </c>
      <c r="C175" s="22"/>
      <c r="D175" s="22"/>
      <c r="E175" s="23" t="s">
        <v>21</v>
      </c>
      <c r="F175" s="22"/>
    </row>
    <row r="176" spans="2:15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 t="s">
        <v>282</v>
      </c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283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DFCFEC52-28F2-4A0C-931C-E8119BA77873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FC405435-1E6C-4F74-9A87-034DE26A9250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3039D87E-6827-4325-BC02-03B007151892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21B3220B-11EA-4B7B-9026-1708180D39CA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C92129CD-A5CB-4365-824E-0EB7CBE2FFC2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71F8A05C-A927-4431-A081-C1FDA055E3DF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5660-D771-4643-9998-88EB64ECD883}">
  <dimension ref="B1:Q205"/>
  <sheetViews>
    <sheetView topLeftCell="B186" zoomScale="103" zoomScaleNormal="40" workbookViewId="0">
      <selection activeCell="F42" sqref="F42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6.886718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284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24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1</v>
      </c>
      <c r="F20" s="5">
        <f t="shared" ref="F20:F29" si="0">IF(E20="","",IF(D20="Sì", 8-E20, E20))</f>
        <v>1</v>
      </c>
      <c r="G20" s="5"/>
      <c r="H20" s="3"/>
      <c r="I20" s="9" t="s">
        <v>32</v>
      </c>
      <c r="J20" s="5">
        <f>IF(J19="","",( J19-1 )*100/6)</f>
        <v>33.333333333333336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7</v>
      </c>
      <c r="F21" s="5">
        <f t="shared" si="0"/>
        <v>7</v>
      </c>
      <c r="G21" s="5"/>
      <c r="H21" s="3"/>
      <c r="I21" s="9" t="s">
        <v>35</v>
      </c>
      <c r="J21" s="5">
        <f>IFERROR(SUM(F20:F29),"")</f>
        <v>30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3</v>
      </c>
      <c r="F22" s="5">
        <f t="shared" si="0"/>
        <v>3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2</v>
      </c>
      <c r="F24" s="5">
        <f t="shared" si="0"/>
        <v>2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1</v>
      </c>
      <c r="F26" s="5">
        <f t="shared" si="0"/>
        <v>1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3</v>
      </c>
      <c r="F27" s="5">
        <f t="shared" si="0"/>
        <v>3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2</v>
      </c>
      <c r="F28" s="5">
        <f t="shared" si="0"/>
        <v>2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2</v>
      </c>
      <c r="F29" s="5">
        <f t="shared" si="0"/>
        <v>6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6</v>
      </c>
      <c r="F38" s="15">
        <v>6</v>
      </c>
      <c r="G38" s="10"/>
      <c r="H38" s="15">
        <f t="shared" ref="H38:H47" si="1">IF(E38="","",IF(D38="Sì", 8-E38, E38))</f>
        <v>6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4.7</v>
      </c>
      <c r="M38" s="15">
        <f>IFERROR(AVERAGEIF(I38:I47,"&lt;&gt;"),"")</f>
        <v>4.9000000000000004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61.666666666666664</v>
      </c>
      <c r="M39" s="15">
        <f>IF(M38="","",(M38-1)*100/6)</f>
        <v>65.000000000000014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3</v>
      </c>
      <c r="F40" s="15">
        <v>3</v>
      </c>
      <c r="G40" s="10"/>
      <c r="H40" s="15">
        <f t="shared" si="1"/>
        <v>5</v>
      </c>
      <c r="I40" s="15">
        <f t="shared" si="2"/>
        <v>5</v>
      </c>
      <c r="J40" s="10"/>
      <c r="K40" s="17" t="s">
        <v>72</v>
      </c>
      <c r="L40" s="15">
        <f>IFERROR(SUM(H38:H47),"")</f>
        <v>47</v>
      </c>
      <c r="M40" s="15">
        <f>IFERROR(SUM(H38:H47),"")</f>
        <v>47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2</v>
      </c>
      <c r="F43" s="15">
        <v>3</v>
      </c>
      <c r="G43" s="10"/>
      <c r="H43" s="15">
        <f t="shared" si="1"/>
        <v>2</v>
      </c>
      <c r="I43" s="15">
        <f t="shared" si="2"/>
        <v>3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3</v>
      </c>
      <c r="G44" s="10"/>
      <c r="H44" s="15">
        <f t="shared" si="1"/>
        <v>3</v>
      </c>
      <c r="I44" s="15">
        <f t="shared" si="2"/>
        <v>3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2</v>
      </c>
      <c r="F45" s="15">
        <v>2</v>
      </c>
      <c r="G45" s="10"/>
      <c r="H45" s="15">
        <f t="shared" si="1"/>
        <v>6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5</v>
      </c>
      <c r="G46" s="10"/>
      <c r="H46" s="15">
        <f t="shared" si="1"/>
        <v>5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2</v>
      </c>
      <c r="F47" s="15">
        <v>3</v>
      </c>
      <c r="G47" s="10"/>
      <c r="H47" s="15">
        <f t="shared" si="1"/>
        <v>2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5</v>
      </c>
      <c r="G55" s="10"/>
      <c r="H55" s="15">
        <f t="shared" ref="H55:H60" si="3">IF(E55="","",IF(D55="Sì", 8-E55, E55))</f>
        <v>7</v>
      </c>
      <c r="I55" s="15">
        <f>IF(F55="","",IF(D55="Sì", 8-F55, F55))</f>
        <v>5</v>
      </c>
      <c r="J55" s="10"/>
      <c r="K55" s="17" t="s">
        <v>66</v>
      </c>
      <c r="L55" s="15">
        <f>IFERROR(AVERAGEIF(H55:H60,"&lt;&gt;"),"")</f>
        <v>5.666666666666667</v>
      </c>
      <c r="M55" s="15">
        <f>IFERROR(AVERAGEIF(I55:I60,"&lt;&gt;"),"")</f>
        <v>4.2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3</v>
      </c>
      <c r="G56" s="10"/>
      <c r="H56" s="15">
        <f t="shared" si="3"/>
        <v>6</v>
      </c>
      <c r="I56" s="15">
        <f t="shared" ref="I56:I60" si="4">IF(F56="","",IF(D56="Sì", 8-F56, F56))</f>
        <v>3</v>
      </c>
      <c r="J56" s="10"/>
      <c r="K56" s="17" t="s">
        <v>69</v>
      </c>
      <c r="L56" s="15">
        <f>IF(L55="","",(L55-1)*100/6)</f>
        <v>77.777777777777786</v>
      </c>
      <c r="M56" s="15">
        <f>IF(M55="","",(M55-1)*100/6)</f>
        <v>53.333333333333336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3</v>
      </c>
      <c r="G57" s="10"/>
      <c r="H57" s="15">
        <f t="shared" si="3"/>
        <v>7</v>
      </c>
      <c r="I57" s="15">
        <f t="shared" si="4"/>
        <v>3</v>
      </c>
      <c r="J57" s="10"/>
      <c r="K57" s="17" t="s">
        <v>72</v>
      </c>
      <c r="L57" s="15">
        <f>IFERROR(SUM(H55:H60),"")</f>
        <v>34</v>
      </c>
      <c r="M57" s="15">
        <f>IFERROR(SUM(I55:I60),"")</f>
        <v>21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3</v>
      </c>
      <c r="G58" s="10"/>
      <c r="H58" s="15">
        <f t="shared" si="3"/>
        <v>5</v>
      </c>
      <c r="I58" s="15">
        <f t="shared" si="4"/>
        <v>5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5</v>
      </c>
      <c r="G59" s="10"/>
      <c r="H59" s="15">
        <f t="shared" si="3"/>
        <v>6</v>
      </c>
      <c r="I59" s="15">
        <f t="shared" si="4"/>
        <v>5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3</v>
      </c>
      <c r="F60" s="15"/>
      <c r="G60" s="10"/>
      <c r="H60" s="15">
        <f t="shared" si="3"/>
        <v>3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2</v>
      </c>
      <c r="F68" s="15">
        <v>3</v>
      </c>
      <c r="G68" s="10"/>
      <c r="H68" s="15">
        <f>IF(E68="","",IF(D68="Sì", 8-E68, E68))</f>
        <v>2</v>
      </c>
      <c r="I68" s="15">
        <f>IF(F68="","",IF(D68="Sì", 8-F68, F68))</f>
        <v>3</v>
      </c>
      <c r="J68" s="10"/>
      <c r="K68" s="17" t="s">
        <v>66</v>
      </c>
      <c r="L68" s="15">
        <f>IFERROR(AVERAGEIF(H68:H70,"&lt;&gt;"),"")</f>
        <v>2</v>
      </c>
      <c r="M68" s="15">
        <f>IFERROR(AVERAGEIF(I68:I70,"&lt;&gt;"),"")</f>
        <v>4.333333333333333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2</v>
      </c>
      <c r="F69" s="15">
        <v>4</v>
      </c>
      <c r="G69" s="10"/>
      <c r="H69" s="15">
        <f>IF(E69="","",IF(D69="Sì", 8-E69, E69))</f>
        <v>2</v>
      </c>
      <c r="I69" s="15">
        <f t="shared" ref="I69:I70" si="5">IF(F69="","",IF(D69="Sì", 8-F69, F69))</f>
        <v>4</v>
      </c>
      <c r="J69" s="10"/>
      <c r="K69" s="17" t="s">
        <v>69</v>
      </c>
      <c r="L69" s="15">
        <f>IF(L68="","",(L68-1)*100/6)</f>
        <v>16.666666666666668</v>
      </c>
      <c r="M69" s="15">
        <f>IF(M68="","",(M68-1)*100/6)</f>
        <v>55.55555555555555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6</v>
      </c>
      <c r="F70" s="15">
        <v>2</v>
      </c>
      <c r="G70" s="10"/>
      <c r="H70" s="15">
        <f>IF(E70="","",IF(D70="Sì", 8-E70, E70))</f>
        <v>2</v>
      </c>
      <c r="I70" s="15">
        <f t="shared" si="5"/>
        <v>6</v>
      </c>
      <c r="J70" s="10"/>
      <c r="K70" s="17" t="s">
        <v>72</v>
      </c>
      <c r="L70" s="15">
        <f>IFERROR(SUM(H68:H70),"")</f>
        <v>6</v>
      </c>
      <c r="M70" s="15">
        <f>IFERROR(SUM(I68:I70),"")</f>
        <v>13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4</v>
      </c>
      <c r="G78" s="10"/>
      <c r="H78" s="15">
        <f t="shared" ref="H78:H83" si="6">IF(E78="","",IF(D78="Sì", 8-E78, E78))</f>
        <v>3</v>
      </c>
      <c r="I78" s="15">
        <f>IF(F78="","",IF(D78="Sì", 8-F78, F78))</f>
        <v>4</v>
      </c>
      <c r="J78" s="10"/>
      <c r="K78" s="17" t="s">
        <v>66</v>
      </c>
      <c r="L78" s="15">
        <f>IFERROR(AVERAGEIF(H78:H83,"&lt;&gt;"),"")</f>
        <v>1.6666666666666667</v>
      </c>
      <c r="M78" s="15">
        <f>IFERROR(AVERAGEIF(I78:I83,"&lt;&gt;"),"")</f>
        <v>3.5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1</v>
      </c>
      <c r="F79" s="15">
        <v>3</v>
      </c>
      <c r="G79" s="10"/>
      <c r="H79" s="15">
        <f t="shared" si="6"/>
        <v>1</v>
      </c>
      <c r="I79" s="15">
        <f t="shared" ref="I79:I83" si="7">IF(F79="","",IF(D79="Sì", 8-F79, F79))</f>
        <v>3</v>
      </c>
      <c r="J79" s="10"/>
      <c r="K79" s="17" t="s">
        <v>69</v>
      </c>
      <c r="L79" s="15">
        <f>IF(L78="","",(L78-1)*100/6)</f>
        <v>11.111111111111112</v>
      </c>
      <c r="M79" s="15">
        <f>IF(M78="","",(M78-1)*100/6)</f>
        <v>41.666666666666664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1</v>
      </c>
      <c r="F80" s="15">
        <v>4</v>
      </c>
      <c r="G80" s="10"/>
      <c r="H80" s="15">
        <f t="shared" si="6"/>
        <v>1</v>
      </c>
      <c r="I80" s="15">
        <f t="shared" si="7"/>
        <v>4</v>
      </c>
      <c r="J80" s="10"/>
      <c r="K80" s="17" t="s">
        <v>72</v>
      </c>
      <c r="L80" s="15">
        <f>IFERROR(SUM(H78:H83),"")</f>
        <v>10</v>
      </c>
      <c r="M80" s="15">
        <f>IFERROR(SUM(I78:I83),"")</f>
        <v>21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2</v>
      </c>
      <c r="G81" s="10"/>
      <c r="H81" s="15">
        <f t="shared" si="6"/>
        <v>1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2</v>
      </c>
      <c r="G82" s="10"/>
      <c r="H82" s="15">
        <f t="shared" si="6"/>
        <v>1</v>
      </c>
      <c r="I82" s="15">
        <f t="shared" si="7"/>
        <v>2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5</v>
      </c>
      <c r="F83" s="15">
        <v>2</v>
      </c>
      <c r="G83" s="10"/>
      <c r="H83" s="15">
        <f t="shared" si="6"/>
        <v>3</v>
      </c>
      <c r="I83" s="15">
        <f t="shared" si="7"/>
        <v>6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5</v>
      </c>
      <c r="F91" s="15">
        <v>5</v>
      </c>
      <c r="G91" s="10"/>
      <c r="H91" s="15">
        <f>IF(E91="","",IF(D91="Sì", 8-E91, E91))</f>
        <v>5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5.4</v>
      </c>
      <c r="M91" s="15">
        <f>IFERROR(AVERAGEIF(I91:I95,"&lt;&gt;"),"")</f>
        <v>5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2</v>
      </c>
      <c r="F92" s="15">
        <v>3</v>
      </c>
      <c r="G92" s="10"/>
      <c r="H92" s="15">
        <f>IF(E92="","",IF(D92="Sì", 8-E92, E92))</f>
        <v>6</v>
      </c>
      <c r="I92" s="15">
        <f t="shared" ref="I92:I95" si="8">IF(F92="","",IF(D92="Sì", 8-F92, F92))</f>
        <v>5</v>
      </c>
      <c r="J92" s="10"/>
      <c r="K92" s="17" t="s">
        <v>69</v>
      </c>
      <c r="L92" s="15">
        <f>IF(L91="","",(L91-1)*100/6)</f>
        <v>73.333333333333343</v>
      </c>
      <c r="M92" s="15">
        <f>IF(M91="","",(M91-1)*100/6)</f>
        <v>66.666666666666671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2</v>
      </c>
      <c r="G93" s="10"/>
      <c r="H93" s="15">
        <f>IF(E93="","",IF(D93="Sì", 8-E93, E93))</f>
        <v>6</v>
      </c>
      <c r="I93" s="15">
        <f t="shared" si="8"/>
        <v>6</v>
      </c>
      <c r="J93" s="10"/>
      <c r="K93" s="17" t="s">
        <v>72</v>
      </c>
      <c r="L93" s="15">
        <f>IFERROR(SUM(H91:H95),"")</f>
        <v>27</v>
      </c>
      <c r="M93" s="15">
        <f>IFERROR(SUM(I91:I95),"")</f>
        <v>25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3</v>
      </c>
      <c r="G94" s="10"/>
      <c r="H94" s="15">
        <f>IF(E94="","",IF(D94="Sì", 8-E94, E94))</f>
        <v>4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2</v>
      </c>
      <c r="G95" s="10"/>
      <c r="H95" s="15">
        <f>IF(E95="","",IF(D95="Sì", 8-E95, E95))</f>
        <v>6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4.8</v>
      </c>
      <c r="M103" s="15">
        <f>IFERROR(AVERAGEIF(I103:I107,"&lt;&gt;"),"")</f>
        <v>2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3</v>
      </c>
      <c r="F104" s="15"/>
      <c r="G104" s="10"/>
      <c r="H104" s="15">
        <f>IF(E104="","",IF(D104="Sì", 8-E104, E104))</f>
        <v>3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63.333333333333336</v>
      </c>
      <c r="M104" s="15">
        <f>IF(M103="","",(M103-1)*100/6)</f>
        <v>16.666666666666668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2</v>
      </c>
      <c r="F105" s="15"/>
      <c r="G105" s="10"/>
      <c r="H105" s="15">
        <f>IF(E105="","",IF(D105="Sì", 8-E105, E105))</f>
        <v>6</v>
      </c>
      <c r="I105" s="15" t="str">
        <f t="shared" si="9"/>
        <v/>
      </c>
      <c r="J105" s="10"/>
      <c r="K105" s="17" t="s">
        <v>72</v>
      </c>
      <c r="L105" s="15">
        <f>IFERROR(SUM(H103:H107),"")</f>
        <v>24</v>
      </c>
      <c r="M105" s="15">
        <f>IFERROR(SUM(I103:I107),"")</f>
        <v>2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4</v>
      </c>
      <c r="F106" s="15"/>
      <c r="G106" s="10"/>
      <c r="H106" s="15">
        <f>IF(E106="","",IF(D106="Sì", 8-E106, E106))</f>
        <v>4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5</v>
      </c>
      <c r="F107" s="15">
        <v>2</v>
      </c>
      <c r="G107" s="10"/>
      <c r="H107" s="15">
        <f>IF(E107="","",IF(D107="Sì", 8-E107, E107))</f>
        <v>5</v>
      </c>
      <c r="I107" s="15">
        <f>IF(F107="","",IF(D107="Sì", 8-F107, F107))</f>
        <v>2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6.25</v>
      </c>
      <c r="M115" s="15">
        <f>IFERROR(AVERAGEIF(I115:I118,"&lt;&gt;"),"")</f>
        <v>6.25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4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4</v>
      </c>
      <c r="J116" s="10"/>
      <c r="K116" s="17" t="s">
        <v>69</v>
      </c>
      <c r="L116" s="15">
        <f>IF(L115="","",(L115-1)*100/6)</f>
        <v>87.5</v>
      </c>
      <c r="M116" s="15">
        <f>IF(M115="","",(M115-1)*100/6)</f>
        <v>87.5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25</v>
      </c>
      <c r="M117" s="15">
        <f>IFERROR(SUM(I115:I118),"")</f>
        <v>25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7</v>
      </c>
      <c r="G118" s="10"/>
      <c r="H118" s="15">
        <f>IF(E118="","",IF(D118="Sì", 8-E118, E118))</f>
        <v>5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50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4</v>
      </c>
      <c r="F128" s="15"/>
      <c r="G128" s="10"/>
      <c r="H128" s="15">
        <f>IF(E128="","",IF(D128="Sì", 8-E128, E128))</f>
        <v>4</v>
      </c>
      <c r="I128" s="15" t="str">
        <f t="shared" si="11"/>
        <v/>
      </c>
      <c r="J128" s="10"/>
      <c r="K128" s="17" t="s">
        <v>72</v>
      </c>
      <c r="L128" s="15">
        <f>IFERROR(SUM(H126:H128),"")</f>
        <v>12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2</v>
      </c>
      <c r="G136" s="10"/>
      <c r="H136" s="15">
        <f>IF(E136="","",IF(D136="Sì", 8-E136, E136))</f>
        <v>5</v>
      </c>
      <c r="I136" s="15">
        <f>IF(F136="","",IF(D136="Sì", 8-F136, F136))</f>
        <v>2</v>
      </c>
      <c r="J136" s="10"/>
      <c r="K136" s="17" t="s">
        <v>66</v>
      </c>
      <c r="L136" s="15">
        <f>IFERROR(AVERAGEIF(H136:H137,"&lt;&gt;"),"")</f>
        <v>4.5</v>
      </c>
      <c r="M136" s="15">
        <f>IFERROR(AVERAGEIF(I136:I137,"&lt;&gt;"),"")</f>
        <v>1.5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4</v>
      </c>
      <c r="F137" s="15">
        <v>1</v>
      </c>
      <c r="G137" s="10"/>
      <c r="H137" s="15">
        <f>IF(E137="","",IF(D137="Sì", 8-E137, E137))</f>
        <v>4</v>
      </c>
      <c r="I137" s="15">
        <f>IF(F137="","",IF(D137="Sì", 8-F137, F137))</f>
        <v>1</v>
      </c>
      <c r="J137" s="10"/>
      <c r="K137" s="17" t="s">
        <v>69</v>
      </c>
      <c r="L137" s="15">
        <f>IF(L136="","",(L136-1)*100/6)</f>
        <v>58.333333333333336</v>
      </c>
      <c r="M137" s="15">
        <f>IF(M136="","",(M136-1)*100/6)</f>
        <v>8.3333333333333339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9</v>
      </c>
      <c r="M138" s="15">
        <f>IFERROR(SUM(I136:I137),"")</f>
        <v>3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5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36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90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1</v>
      </c>
      <c r="G163" s="10"/>
      <c r="H163" s="15">
        <f t="shared" si="13"/>
        <v>3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4</v>
      </c>
      <c r="F164" s="15">
        <v>4</v>
      </c>
      <c r="G164" s="10"/>
      <c r="H164" s="15">
        <f t="shared" si="13"/>
        <v>3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30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E039EE6E-1EB0-4DC0-B89E-BA479277E1A1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7E11C0D-7F61-4FAA-A9C7-BBCAAF7C3727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7A569D49-991E-4881-A98B-C5FDFC9471EF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0BC62171-B3AC-42F7-9282-AAD1E90F55BC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B65D8307-AEB1-4768-9B38-D703FDEDEB2C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D33C8E3F-B351-4378-BA6E-8E2A90510E93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3196B-54C0-4145-9536-2EBBAB6FFEC7}">
  <dimension ref="B1:Q205"/>
  <sheetViews>
    <sheetView topLeftCell="A185" zoomScale="92" zoomScaleNormal="109" workbookViewId="0">
      <selection activeCell="F70" sqref="F70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12.6640625" style="2" customWidth="1"/>
    <col min="6" max="6" width="9.44140625" style="2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383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26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243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4.3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4</v>
      </c>
      <c r="F20" s="5">
        <f t="shared" ref="F20:F29" si="0">IF(E20="","",IF(D20="Sì", 8-E20, E20))</f>
        <v>4</v>
      </c>
      <c r="G20" s="5"/>
      <c r="H20" s="3"/>
      <c r="I20" s="9" t="s">
        <v>32</v>
      </c>
      <c r="J20" s="5">
        <f>IF(J19="","",( J19-1 )*100/6)</f>
        <v>55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43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5</v>
      </c>
      <c r="F22" s="5">
        <f t="shared" si="0"/>
        <v>5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3</v>
      </c>
      <c r="F23" s="5">
        <f t="shared" si="0"/>
        <v>3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2</v>
      </c>
      <c r="F24" s="5">
        <f t="shared" si="0"/>
        <v>2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6</v>
      </c>
      <c r="F25" s="5">
        <f t="shared" si="0"/>
        <v>6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4</v>
      </c>
      <c r="F26" s="5">
        <f t="shared" si="0"/>
        <v>4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6</v>
      </c>
      <c r="F27" s="5">
        <f t="shared" si="0"/>
        <v>6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6</v>
      </c>
      <c r="F28" s="5">
        <f t="shared" si="0"/>
        <v>6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6</v>
      </c>
      <c r="F29" s="5">
        <f t="shared" si="0"/>
        <v>2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 t="s">
        <v>384</v>
      </c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4.5999999999999996</v>
      </c>
      <c r="M38" s="15">
        <f>IFERROR(AVERAGEIF(I38:I47,"&lt;&gt;"),"")</f>
        <v>4.9000000000000004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59.999999999999993</v>
      </c>
      <c r="M39" s="15">
        <f>IF(M38="","",(M38-1)*100/6)</f>
        <v>65.000000000000014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4</v>
      </c>
      <c r="G40" s="10"/>
      <c r="H40" s="15">
        <f t="shared" si="1"/>
        <v>3</v>
      </c>
      <c r="I40" s="15">
        <f t="shared" si="2"/>
        <v>4</v>
      </c>
      <c r="J40" s="10"/>
      <c r="K40" s="17" t="s">
        <v>72</v>
      </c>
      <c r="L40" s="15">
        <f>IFERROR(SUM(H38:H47),"")</f>
        <v>46</v>
      </c>
      <c r="M40" s="15">
        <f>IFERROR(SUM(H38:H47),"")</f>
        <v>46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4</v>
      </c>
      <c r="F41" s="15">
        <v>6</v>
      </c>
      <c r="G41" s="10"/>
      <c r="H41" s="15">
        <f t="shared" si="1"/>
        <v>4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5</v>
      </c>
      <c r="G43" s="10"/>
      <c r="H43" s="15">
        <f t="shared" si="1"/>
        <v>5</v>
      </c>
      <c r="I43" s="15">
        <f t="shared" si="2"/>
        <v>5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4</v>
      </c>
      <c r="G44" s="10"/>
      <c r="H44" s="15">
        <f t="shared" si="1"/>
        <v>4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4</v>
      </c>
      <c r="F45" s="15">
        <v>4</v>
      </c>
      <c r="G45" s="10"/>
      <c r="H45" s="15">
        <f t="shared" si="1"/>
        <v>4</v>
      </c>
      <c r="I45" s="15">
        <f t="shared" si="2"/>
        <v>4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5</v>
      </c>
      <c r="G46" s="10"/>
      <c r="H46" s="15">
        <f t="shared" si="1"/>
        <v>5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243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4</v>
      </c>
      <c r="F47" s="15">
        <v>4</v>
      </c>
      <c r="G47" s="10"/>
      <c r="H47" s="15">
        <f t="shared" si="1"/>
        <v>4</v>
      </c>
      <c r="I47" s="15">
        <f t="shared" si="2"/>
        <v>4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5.833333333333333</v>
      </c>
      <c r="M55" s="15">
        <f>IFERROR(AVERAGEIF(I55:I60,"&lt;&gt;"),"")</f>
        <v>5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5</v>
      </c>
      <c r="G56" s="10"/>
      <c r="H56" s="15">
        <f t="shared" si="3"/>
        <v>6</v>
      </c>
      <c r="I56" s="15">
        <f t="shared" ref="I56:I60" si="4">IF(F56="","",IF(D56="Sì", 8-F56, F56))</f>
        <v>5</v>
      </c>
      <c r="J56" s="10"/>
      <c r="K56" s="17" t="s">
        <v>69</v>
      </c>
      <c r="L56" s="15">
        <f>IF(L55="","",(L55-1)*100/6)</f>
        <v>80.555555555555557</v>
      </c>
      <c r="M56" s="15">
        <f>IF(M55="","",(M55-1)*100/6)</f>
        <v>66.666666666666671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5</v>
      </c>
      <c r="F57" s="15">
        <v>4</v>
      </c>
      <c r="G57" s="10"/>
      <c r="H57" s="15">
        <f t="shared" si="3"/>
        <v>5</v>
      </c>
      <c r="I57" s="15">
        <f t="shared" si="4"/>
        <v>4</v>
      </c>
      <c r="J57" s="10"/>
      <c r="K57" s="17" t="s">
        <v>72</v>
      </c>
      <c r="L57" s="15">
        <f>IFERROR(SUM(H55:H60),"")</f>
        <v>35</v>
      </c>
      <c r="M57" s="15">
        <f>IFERROR(SUM(I55:I60),"")</f>
        <v>25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2</v>
      </c>
      <c r="F58" s="15">
        <v>4</v>
      </c>
      <c r="G58" s="10"/>
      <c r="H58" s="15">
        <f t="shared" si="3"/>
        <v>6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5</v>
      </c>
      <c r="G59" s="10"/>
      <c r="H59" s="15">
        <f t="shared" si="3"/>
        <v>6</v>
      </c>
      <c r="I59" s="15">
        <f t="shared" si="4"/>
        <v>5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4</v>
      </c>
      <c r="F68" s="15">
        <v>5</v>
      </c>
      <c r="G68" s="10"/>
      <c r="H68" s="15">
        <f>IF(E68="","",IF(D68="Sì", 8-E68, E68))</f>
        <v>4</v>
      </c>
      <c r="I68" s="15">
        <f>IF(F68="","",IF(D68="Sì", 8-F68, F68))</f>
        <v>5</v>
      </c>
      <c r="J68" s="10"/>
      <c r="K68" s="17" t="s">
        <v>66</v>
      </c>
      <c r="L68" s="15">
        <f>IFERROR(AVERAGEIF(H68:H70,"&lt;&gt;"),"")</f>
        <v>4.666666666666667</v>
      </c>
      <c r="M68" s="15">
        <f>IFERROR(AVERAGEIF(I68:I70,"&lt;&gt;"),"")</f>
        <v>5.333333333333333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5</v>
      </c>
      <c r="G69" s="10"/>
      <c r="H69" s="15">
        <f>IF(E69="","",IF(D69="Sì", 8-E69, E69))</f>
        <v>4</v>
      </c>
      <c r="I69" s="15">
        <f t="shared" ref="I69:I70" si="5">IF(F69="","",IF(D69="Sì", 8-F69, F69))</f>
        <v>5</v>
      </c>
      <c r="J69" s="10"/>
      <c r="K69" s="17" t="s">
        <v>69</v>
      </c>
      <c r="L69" s="15">
        <f>IF(L68="","",(L68-1)*100/6)</f>
        <v>61.111111111111114</v>
      </c>
      <c r="M69" s="15">
        <f>IF(M68="","",(M68-1)*100/6)</f>
        <v>72.222222222222214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2</v>
      </c>
      <c r="G70" s="10"/>
      <c r="H70" s="15">
        <f>IF(E70="","",IF(D70="Sì", 8-E70, E70))</f>
        <v>6</v>
      </c>
      <c r="I70" s="15">
        <f t="shared" si="5"/>
        <v>6</v>
      </c>
      <c r="J70" s="10"/>
      <c r="K70" s="17" t="s">
        <v>72</v>
      </c>
      <c r="L70" s="15">
        <f>IFERROR(SUM(H68:H70),"")</f>
        <v>14</v>
      </c>
      <c r="M70" s="15">
        <f>IFERROR(SUM(I68:I70),"")</f>
        <v>16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5</v>
      </c>
      <c r="F78" s="15">
        <v>5</v>
      </c>
      <c r="G78" s="10"/>
      <c r="H78" s="15">
        <f t="shared" ref="H78:H83" si="6">IF(E78="","",IF(D78="Sì", 8-E78, E78))</f>
        <v>5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3.3333333333333335</v>
      </c>
      <c r="M78" s="15">
        <f>IFERROR(AVERAGEIF(I78:I83,"&lt;&gt;"),"")</f>
        <v>4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4</v>
      </c>
      <c r="G79" s="10"/>
      <c r="H79" s="15">
        <f t="shared" si="6"/>
        <v>2</v>
      </c>
      <c r="I79" s="15">
        <f t="shared" ref="I79:I83" si="7">IF(F79="","",IF(D79="Sì", 8-F79, F79))</f>
        <v>4</v>
      </c>
      <c r="J79" s="10"/>
      <c r="K79" s="17" t="s">
        <v>69</v>
      </c>
      <c r="L79" s="15">
        <f>IF(L78="","",(L78-1)*100/6)</f>
        <v>38.888888888888893</v>
      </c>
      <c r="M79" s="15">
        <f>IF(M78="","",(M78-1)*100/6)</f>
        <v>50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3</v>
      </c>
      <c r="F80" s="15">
        <v>5</v>
      </c>
      <c r="G80" s="10"/>
      <c r="H80" s="15">
        <f t="shared" si="6"/>
        <v>3</v>
      </c>
      <c r="I80" s="15">
        <f t="shared" si="7"/>
        <v>5</v>
      </c>
      <c r="J80" s="10"/>
      <c r="K80" s="17" t="s">
        <v>72</v>
      </c>
      <c r="L80" s="15">
        <f>IFERROR(SUM(H78:H83),"")</f>
        <v>20</v>
      </c>
      <c r="M80" s="15">
        <f>IFERROR(SUM(I78:I83),"")</f>
        <v>24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2</v>
      </c>
      <c r="G81" s="10"/>
      <c r="H81" s="15">
        <f t="shared" si="6"/>
        <v>2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5</v>
      </c>
      <c r="F82" s="15">
        <v>5</v>
      </c>
      <c r="G82" s="10"/>
      <c r="H82" s="15">
        <f t="shared" si="6"/>
        <v>5</v>
      </c>
      <c r="I82" s="15">
        <f t="shared" si="7"/>
        <v>5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5</v>
      </c>
      <c r="F83" s="15">
        <v>5</v>
      </c>
      <c r="G83" s="10"/>
      <c r="H83" s="15">
        <f t="shared" si="6"/>
        <v>3</v>
      </c>
      <c r="I83" s="15">
        <f t="shared" si="7"/>
        <v>3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2</v>
      </c>
      <c r="F91" s="15">
        <v>5</v>
      </c>
      <c r="G91" s="10"/>
      <c r="H91" s="15">
        <f>IF(E91="","",IF(D91="Sì", 8-E91, E91))</f>
        <v>2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2.4</v>
      </c>
      <c r="M91" s="15">
        <f>IFERROR(AVERAGEIF(I91:I95,"&lt;&gt;"),"")</f>
        <v>5.6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6</v>
      </c>
      <c r="F92" s="15">
        <v>2</v>
      </c>
      <c r="G92" s="10"/>
      <c r="H92" s="15">
        <f>IF(E92="","",IF(D92="Sì", 8-E92, E92))</f>
        <v>2</v>
      </c>
      <c r="I92" s="15">
        <f t="shared" ref="I92:I95" si="8">IF(F92="","",IF(D92="Sì", 8-F92, F92))</f>
        <v>6</v>
      </c>
      <c r="J92" s="10"/>
      <c r="K92" s="17" t="s">
        <v>69</v>
      </c>
      <c r="L92" s="15">
        <f>IF(L91="","",(L91-1)*100/6)</f>
        <v>23.333333333333332</v>
      </c>
      <c r="M92" s="15">
        <f>IF(M91="","",(M91-1)*100/6)</f>
        <v>76.666666666666657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6</v>
      </c>
      <c r="F93" s="15">
        <v>2</v>
      </c>
      <c r="G93" s="10"/>
      <c r="H93" s="15">
        <f>IF(E93="","",IF(D93="Sì", 8-E93, E93))</f>
        <v>2</v>
      </c>
      <c r="I93" s="15">
        <f t="shared" si="8"/>
        <v>6</v>
      </c>
      <c r="J93" s="10"/>
      <c r="K93" s="17" t="s">
        <v>72</v>
      </c>
      <c r="L93" s="15">
        <f>IFERROR(SUM(H91:H95),"")</f>
        <v>12</v>
      </c>
      <c r="M93" s="15">
        <f>IFERROR(SUM(I91:I95),"")</f>
        <v>28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2</v>
      </c>
      <c r="F94" s="15">
        <v>4</v>
      </c>
      <c r="G94" s="10"/>
      <c r="H94" s="15">
        <f>IF(E94="","",IF(D94="Sì", 8-E94, E94))</f>
        <v>2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4</v>
      </c>
      <c r="F95" s="15">
        <v>1</v>
      </c>
      <c r="G95" s="10"/>
      <c r="H95" s="15">
        <f>IF(E95="","",IF(D95="Sì", 8-E95, E95))</f>
        <v>4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4</v>
      </c>
      <c r="F103" s="15"/>
      <c r="G103" s="10"/>
      <c r="H103" s="15">
        <f>IF(E103="","",IF(D103="Sì", 8-E103, E103))</f>
        <v>4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2.8</v>
      </c>
      <c r="M103" s="15">
        <f>IFERROR(AVERAGEIF(I103:I107,"&lt;&gt;"),"")</f>
        <v>4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2</v>
      </c>
      <c r="F104" s="15"/>
      <c r="G104" s="10"/>
      <c r="H104" s="15">
        <f>IF(E104="","",IF(D104="Sì", 8-E104, E104))</f>
        <v>2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29.999999999999996</v>
      </c>
      <c r="M104" s="15">
        <f>IF(M103="","",(M103-1)*100/6)</f>
        <v>50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4</v>
      </c>
      <c r="F105" s="15"/>
      <c r="G105" s="10"/>
      <c r="H105" s="15">
        <f>IF(E105="","",IF(D105="Sì", 8-E105, E105))</f>
        <v>4</v>
      </c>
      <c r="I105" s="15" t="str">
        <f t="shared" si="9"/>
        <v/>
      </c>
      <c r="J105" s="10"/>
      <c r="K105" s="17" t="s">
        <v>72</v>
      </c>
      <c r="L105" s="15">
        <f>IFERROR(SUM(H103:H107),"")</f>
        <v>14</v>
      </c>
      <c r="M105" s="15">
        <f>IFERROR(SUM(I103:I107),"")</f>
        <v>4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2</v>
      </c>
      <c r="F106" s="15"/>
      <c r="G106" s="10"/>
      <c r="H106" s="15">
        <f>IF(E106="","",IF(D106="Sì", 8-E106, E106))</f>
        <v>2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2</v>
      </c>
      <c r="F107" s="15">
        <v>4</v>
      </c>
      <c r="G107" s="10"/>
      <c r="H107" s="15">
        <f>IF(E107="","",IF(D107="Sì", 8-E107, E107))</f>
        <v>2</v>
      </c>
      <c r="I107" s="15">
        <f>IF(F107="","",IF(D107="Sì", 8-F107, F107))</f>
        <v>4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2</v>
      </c>
      <c r="F115" s="15">
        <v>1</v>
      </c>
      <c r="G115" s="10"/>
      <c r="H115" s="15">
        <f>IF(E115="","",IF(D115="Sì", 8-E115, E115))</f>
        <v>6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5.5</v>
      </c>
      <c r="M115" s="15">
        <f>IFERROR(AVERAGEIF(I115:I118,"&lt;&gt;"),"")</f>
        <v>6.25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4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4</v>
      </c>
      <c r="J116" s="10"/>
      <c r="K116" s="17" t="s">
        <v>69</v>
      </c>
      <c r="L116" s="15">
        <f>IF(L115="","",(L115-1)*100/6)</f>
        <v>75</v>
      </c>
      <c r="M116" s="15">
        <f>IF(M115="","",(M115-1)*100/6)</f>
        <v>87.5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22</v>
      </c>
      <c r="M117" s="15">
        <f>IFERROR(SUM(I115:I118),"")</f>
        <v>25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4</v>
      </c>
      <c r="F118" s="15">
        <v>7</v>
      </c>
      <c r="G118" s="10"/>
      <c r="H118" s="15">
        <f>IF(E118="","",IF(D118="Sì", 8-E118, E118))</f>
        <v>4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4</v>
      </c>
      <c r="F126" s="15"/>
      <c r="G126" s="10"/>
      <c r="H126" s="15">
        <f>IF(E126="","",IF(D126="Sì", 8-E126, E126))</f>
        <v>4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55.55555555555555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2</v>
      </c>
      <c r="F128" s="15"/>
      <c r="G128" s="10"/>
      <c r="H128" s="15">
        <f>IF(E128="","",IF(D128="Sì", 8-E128, E128))</f>
        <v>2</v>
      </c>
      <c r="I128" s="15" t="str">
        <f t="shared" si="11"/>
        <v/>
      </c>
      <c r="J128" s="10"/>
      <c r="K128" s="17" t="s">
        <v>72</v>
      </c>
      <c r="L128" s="15">
        <f>IFERROR(SUM(H126:H128),"")</f>
        <v>13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7</v>
      </c>
      <c r="G136" s="10"/>
      <c r="H136" s="15">
        <f>IF(E136="","",IF(D136="Sì", 8-E136, E136))</f>
        <v>7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6.5</v>
      </c>
      <c r="M136" s="15">
        <f>IFERROR(AVERAGEIF(I136:I137,"&lt;&gt;"),"")</f>
        <v>6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6</v>
      </c>
      <c r="F137" s="15">
        <v>5</v>
      </c>
      <c r="G137" s="10"/>
      <c r="H137" s="15">
        <f>IF(E137="","",IF(D137="Sì", 8-E137, E137))</f>
        <v>6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91.666666666666671</v>
      </c>
      <c r="M137" s="15">
        <f>IF(M136="","",(M136-1)*100/6)</f>
        <v>83.333333333333329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13</v>
      </c>
      <c r="M138" s="15">
        <f>IFERROR(SUM(I136:I137),"")</f>
        <v>12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4</v>
      </c>
      <c r="F158" s="15">
        <v>5</v>
      </c>
      <c r="G158" s="10"/>
      <c r="H158" s="15">
        <f t="shared" ref="H158:H167" si="13">IF(E158="","",IF(D158="Sì", 5-E158, E158-1))</f>
        <v>3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26</v>
      </c>
      <c r="M158" s="15">
        <f>IFERROR(SUM(I158:I167),"")</f>
        <v>40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5</v>
      </c>
      <c r="F159" s="15">
        <v>1</v>
      </c>
      <c r="G159" s="10"/>
      <c r="H159" s="15">
        <f t="shared" si="13"/>
        <v>0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65</v>
      </c>
      <c r="M159" s="15">
        <f>IF(M158="","", M158*2.5 )</f>
        <v>100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3</v>
      </c>
      <c r="F160" s="15">
        <v>5</v>
      </c>
      <c r="G160" s="10"/>
      <c r="H160" s="15">
        <f t="shared" si="13"/>
        <v>2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5</v>
      </c>
      <c r="G162" s="10"/>
      <c r="H162" s="15">
        <f t="shared" si="13"/>
        <v>3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1</v>
      </c>
      <c r="G163" s="10"/>
      <c r="H163" s="15">
        <f t="shared" si="13"/>
        <v>3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5</v>
      </c>
      <c r="F165" s="15">
        <v>1</v>
      </c>
      <c r="G165" s="10"/>
      <c r="H165" s="15">
        <f t="shared" si="13"/>
        <v>0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385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5E35E433-19FC-44F0-87BC-CAB0A6C4EE46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27A69FC8-759F-45D9-98FD-DD8DAAC90D38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641326C6-5EB0-4F98-969A-99DDF7E15B76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473F5576-DFA4-41AD-89FD-A9AE0A1A2A4A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2BB57A26-2D0F-4ADA-8879-B83A94FE5875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D5BE34BB-AD3B-4068-BE19-A36FCDC5D51F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C4D5-E002-4E54-BEAE-97F7BF0AA121}">
  <dimension ref="B1:Q205"/>
  <sheetViews>
    <sheetView topLeftCell="A187" zoomScale="117" zoomScaleNormal="145" workbookViewId="0">
      <selection activeCell="E83" sqref="E83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386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25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3.7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4</v>
      </c>
      <c r="F20" s="5">
        <f t="shared" ref="F20:F29" si="0">IF(E20="","",IF(D20="Sì", 8-E20, E20))</f>
        <v>4</v>
      </c>
      <c r="G20" s="5"/>
      <c r="H20" s="3"/>
      <c r="I20" s="9" t="s">
        <v>32</v>
      </c>
      <c r="J20" s="5">
        <f>IF(J19="","",( J19-1 )*100/6)</f>
        <v>45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37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4</v>
      </c>
      <c r="F22" s="5">
        <f t="shared" si="0"/>
        <v>4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4</v>
      </c>
      <c r="F24" s="5">
        <f t="shared" si="0"/>
        <v>4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5</v>
      </c>
      <c r="F25" s="5">
        <f t="shared" si="0"/>
        <v>5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2</v>
      </c>
      <c r="F27" s="5">
        <f t="shared" si="0"/>
        <v>2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6</v>
      </c>
      <c r="F28" s="5">
        <f t="shared" si="0"/>
        <v>6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5</v>
      </c>
      <c r="F29" s="5">
        <f t="shared" si="0"/>
        <v>3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 t="s">
        <v>384</v>
      </c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4</v>
      </c>
      <c r="F38" s="15">
        <v>4</v>
      </c>
      <c r="G38" s="10"/>
      <c r="H38" s="15">
        <f t="shared" ref="H38:H47" si="1">IF(E38="","",IF(D38="Sì", 8-E38, E38))</f>
        <v>4</v>
      </c>
      <c r="I38" s="15">
        <f t="shared" ref="I38:I47" si="2">IF(F38="","",IF(D38="Sì", 8-F38, F38))</f>
        <v>4</v>
      </c>
      <c r="J38" s="10"/>
      <c r="K38" s="17" t="s">
        <v>66</v>
      </c>
      <c r="L38" s="15">
        <f>IFERROR(AVERAGEIF(H38:H47,"&lt;&gt;"),"")</f>
        <v>4.7</v>
      </c>
      <c r="M38" s="15">
        <f>IFERROR(AVERAGEIF(I38:I47,"&lt;&gt;"),"")</f>
        <v>5.0999999999999996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4</v>
      </c>
      <c r="F39" s="15">
        <v>5</v>
      </c>
      <c r="G39" s="10"/>
      <c r="H39" s="15">
        <f t="shared" si="1"/>
        <v>4</v>
      </c>
      <c r="I39" s="15">
        <f t="shared" si="2"/>
        <v>5</v>
      </c>
      <c r="J39" s="10"/>
      <c r="K39" s="17" t="s">
        <v>69</v>
      </c>
      <c r="L39" s="15">
        <f>IF(L38="","",(L38-1)*100/6)</f>
        <v>61.666666666666664</v>
      </c>
      <c r="M39" s="15">
        <f>IF(M38="","",(M38-1)*100/6)</f>
        <v>68.333333333333329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4</v>
      </c>
      <c r="F40" s="15">
        <v>3</v>
      </c>
      <c r="G40" s="10"/>
      <c r="H40" s="15">
        <f t="shared" si="1"/>
        <v>4</v>
      </c>
      <c r="I40" s="15">
        <f t="shared" si="2"/>
        <v>5</v>
      </c>
      <c r="J40" s="10"/>
      <c r="K40" s="17" t="s">
        <v>72</v>
      </c>
      <c r="L40" s="15">
        <f>IFERROR(SUM(H38:H47),"")</f>
        <v>47</v>
      </c>
      <c r="M40" s="15">
        <f>IFERROR(SUM(H38:H47),"")</f>
        <v>47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5</v>
      </c>
      <c r="G41" s="10"/>
      <c r="H41" s="15">
        <f t="shared" si="1"/>
        <v>6</v>
      </c>
      <c r="I41" s="15">
        <f t="shared" si="2"/>
        <v>5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6</v>
      </c>
      <c r="F42" s="15">
        <v>6</v>
      </c>
      <c r="G42" s="10"/>
      <c r="H42" s="15">
        <f t="shared" si="1"/>
        <v>6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6</v>
      </c>
      <c r="F43" s="15">
        <v>6</v>
      </c>
      <c r="G43" s="10"/>
      <c r="H43" s="15">
        <f t="shared" si="1"/>
        <v>6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5</v>
      </c>
      <c r="G44" s="10"/>
      <c r="H44" s="15">
        <f t="shared" si="1"/>
        <v>3</v>
      </c>
      <c r="I44" s="15">
        <f t="shared" si="2"/>
        <v>5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2</v>
      </c>
      <c r="G45" s="10"/>
      <c r="H45" s="15">
        <f t="shared" si="1"/>
        <v>5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5.833333333333333</v>
      </c>
      <c r="M55" s="15">
        <f>IFERROR(AVERAGEIF(I55:I60,"&lt;&gt;"),"")</f>
        <v>5.4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4</v>
      </c>
      <c r="F56" s="15">
        <v>4</v>
      </c>
      <c r="G56" s="10"/>
      <c r="H56" s="15">
        <f t="shared" si="3"/>
        <v>4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80.555555555555557</v>
      </c>
      <c r="M56" s="15">
        <f>IF(M55="","",(M55-1)*100/6)</f>
        <v>73.333333333333343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6</v>
      </c>
      <c r="G57" s="10"/>
      <c r="H57" s="15">
        <f t="shared" si="3"/>
        <v>6</v>
      </c>
      <c r="I57" s="15">
        <f t="shared" si="4"/>
        <v>6</v>
      </c>
      <c r="J57" s="10"/>
      <c r="K57" s="17" t="s">
        <v>72</v>
      </c>
      <c r="L57" s="15">
        <f>IFERROR(SUM(H55:H60),"")</f>
        <v>35</v>
      </c>
      <c r="M57" s="15">
        <f>IFERROR(SUM(I55:I60),"")</f>
        <v>27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3</v>
      </c>
      <c r="F58" s="15">
        <v>5</v>
      </c>
      <c r="G58" s="10"/>
      <c r="H58" s="15">
        <f t="shared" si="3"/>
        <v>5</v>
      </c>
      <c r="I58" s="15">
        <f t="shared" si="4"/>
        <v>3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4</v>
      </c>
      <c r="F68" s="15">
        <v>6</v>
      </c>
      <c r="G68" s="10"/>
      <c r="H68" s="15">
        <f>IF(E68="","",IF(D68="Sì", 8-E68, E68))</f>
        <v>4</v>
      </c>
      <c r="I68" s="15">
        <f>IF(F68="","",IF(D68="Sì", 8-F68, F68))</f>
        <v>6</v>
      </c>
      <c r="J68" s="10"/>
      <c r="K68" s="17" t="s">
        <v>66</v>
      </c>
      <c r="L68" s="15">
        <f>IFERROR(AVERAGEIF(H68:H70,"&lt;&gt;"),"")</f>
        <v>4.333333333333333</v>
      </c>
      <c r="M68" s="15">
        <f>IFERROR(AVERAGEIF(I68:I70,"&lt;&gt;"),"")</f>
        <v>5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4</v>
      </c>
      <c r="G69" s="10"/>
      <c r="H69" s="15">
        <f>IF(E69="","",IF(D69="Sì", 8-E69, E69))</f>
        <v>4</v>
      </c>
      <c r="I69" s="15">
        <f t="shared" ref="I69:I70" si="5">IF(F69="","",IF(D69="Sì", 8-F69, F69))</f>
        <v>4</v>
      </c>
      <c r="J69" s="10"/>
      <c r="K69" s="17" t="s">
        <v>69</v>
      </c>
      <c r="L69" s="15">
        <f>IF(L68="","",(L68-1)*100/6)</f>
        <v>55.55555555555555</v>
      </c>
      <c r="M69" s="15">
        <f>IF(M68="","",(M68-1)*100/6)</f>
        <v>66.666666666666671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3</v>
      </c>
      <c r="F70" s="15">
        <v>3</v>
      </c>
      <c r="G70" s="10"/>
      <c r="H70" s="15">
        <f>IF(E70="","",IF(D70="Sì", 8-E70, E70))</f>
        <v>5</v>
      </c>
      <c r="I70" s="15">
        <f t="shared" si="5"/>
        <v>5</v>
      </c>
      <c r="J70" s="10"/>
      <c r="K70" s="17" t="s">
        <v>72</v>
      </c>
      <c r="L70" s="15">
        <f>IFERROR(SUM(H68:H70),"")</f>
        <v>13</v>
      </c>
      <c r="M70" s="15">
        <f>IFERROR(SUM(I68:I70),"")</f>
        <v>15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1</v>
      </c>
      <c r="F78" s="15">
        <v>5</v>
      </c>
      <c r="G78" s="10"/>
      <c r="H78" s="15">
        <f t="shared" ref="H78:H83" si="6">IF(E78="","",IF(D78="Sì", 8-E78, E78))</f>
        <v>1</v>
      </c>
      <c r="I78" s="15">
        <f>IF(F78="","",IF(D78="Sì", 8-F78, F78))</f>
        <v>5</v>
      </c>
      <c r="J78" s="10"/>
      <c r="K78" s="17" t="s">
        <v>66</v>
      </c>
      <c r="L78" s="15">
        <f>IFERROR(AVERAGEIF(H78:H83,"&lt;&gt;"),"")</f>
        <v>1.6666666666666667</v>
      </c>
      <c r="M78" s="15">
        <f>IFERROR(AVERAGEIF(I78:I83,"&lt;&gt;"),"")</f>
        <v>4.833333333333333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3</v>
      </c>
      <c r="F79" s="15">
        <v>6</v>
      </c>
      <c r="G79" s="10"/>
      <c r="H79" s="15">
        <f t="shared" si="6"/>
        <v>3</v>
      </c>
      <c r="I79" s="15">
        <f t="shared" ref="I79:I83" si="7">IF(F79="","",IF(D79="Sì", 8-F79, F79))</f>
        <v>6</v>
      </c>
      <c r="J79" s="10"/>
      <c r="K79" s="17" t="s">
        <v>69</v>
      </c>
      <c r="L79" s="15">
        <f>IF(L78="","",(L78-1)*100/6)</f>
        <v>11.111111111111112</v>
      </c>
      <c r="M79" s="15">
        <f>IF(M78="","",(M78-1)*100/6)</f>
        <v>63.888888888888886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3</v>
      </c>
      <c r="F80" s="15">
        <v>6</v>
      </c>
      <c r="G80" s="10"/>
      <c r="H80" s="15">
        <f t="shared" si="6"/>
        <v>3</v>
      </c>
      <c r="I80" s="15">
        <f t="shared" si="7"/>
        <v>6</v>
      </c>
      <c r="J80" s="10"/>
      <c r="K80" s="17" t="s">
        <v>72</v>
      </c>
      <c r="L80" s="15">
        <f>IFERROR(SUM(H78:H83),"")</f>
        <v>10</v>
      </c>
      <c r="M80" s="15">
        <f>IFERROR(SUM(I78:I83),"")</f>
        <v>29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1</v>
      </c>
      <c r="F81" s="15">
        <v>5</v>
      </c>
      <c r="G81" s="10"/>
      <c r="H81" s="15">
        <f t="shared" si="6"/>
        <v>1</v>
      </c>
      <c r="I81" s="15">
        <f t="shared" si="7"/>
        <v>5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2</v>
      </c>
      <c r="G82" s="10"/>
      <c r="H82" s="15">
        <f t="shared" si="6"/>
        <v>1</v>
      </c>
      <c r="I82" s="15">
        <f t="shared" si="7"/>
        <v>2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7</v>
      </c>
      <c r="F83" s="15">
        <v>3</v>
      </c>
      <c r="G83" s="10"/>
      <c r="H83" s="15">
        <f t="shared" si="6"/>
        <v>1</v>
      </c>
      <c r="I83" s="15">
        <f t="shared" si="7"/>
        <v>5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7</v>
      </c>
      <c r="G91" s="10"/>
      <c r="H91" s="15">
        <f>IF(E91="","",IF(D91="Sì", 8-E91, E91))</f>
        <v>7</v>
      </c>
      <c r="I91" s="15">
        <f>IF(F91="","",IF(D91="Sì", 8-F91, F91))</f>
        <v>7</v>
      </c>
      <c r="J91" s="10"/>
      <c r="K91" s="17" t="s">
        <v>66</v>
      </c>
      <c r="L91" s="15">
        <f>IFERROR(AVERAGEIF(H91:H95,"&lt;&gt;"),"")</f>
        <v>6.6</v>
      </c>
      <c r="M91" s="15">
        <f>IFERROR(AVERAGEIF(I91:I95,"&lt;&gt;"),"")</f>
        <v>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1</v>
      </c>
      <c r="G92" s="10"/>
      <c r="H92" s="15">
        <f>IF(E92="","",IF(D92="Sì", 8-E92, E92))</f>
        <v>7</v>
      </c>
      <c r="I92" s="15">
        <f t="shared" ref="I92:I95" si="8">IF(F92="","",IF(D92="Sì", 8-F92, F92))</f>
        <v>7</v>
      </c>
      <c r="J92" s="10"/>
      <c r="K92" s="17" t="s">
        <v>69</v>
      </c>
      <c r="L92" s="15">
        <f>IF(L91="","",(L91-1)*100/6)</f>
        <v>93.333333333333329</v>
      </c>
      <c r="M92" s="15">
        <f>IF(M91="","",(M91-1)*100/6)</f>
        <v>83.333333333333329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1</v>
      </c>
      <c r="G93" s="10"/>
      <c r="H93" s="15">
        <f>IF(E93="","",IF(D93="Sì", 8-E93, E93))</f>
        <v>6</v>
      </c>
      <c r="I93" s="15">
        <f t="shared" si="8"/>
        <v>7</v>
      </c>
      <c r="J93" s="10"/>
      <c r="K93" s="17" t="s">
        <v>72</v>
      </c>
      <c r="L93" s="15">
        <f>IFERROR(SUM(H91:H95),"")</f>
        <v>33</v>
      </c>
      <c r="M93" s="15">
        <f>IFERROR(SUM(I91:I95),"")</f>
        <v>30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6</v>
      </c>
      <c r="F94" s="15">
        <v>3</v>
      </c>
      <c r="G94" s="10"/>
      <c r="H94" s="15">
        <f>IF(E94="","",IF(D94="Sì", 8-E94, E94))</f>
        <v>6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2</v>
      </c>
      <c r="G95" s="10"/>
      <c r="H95" s="15">
        <f>IF(E95="","",IF(D95="Sì", 8-E95, E95))</f>
        <v>7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4</v>
      </c>
      <c r="F104" s="15"/>
      <c r="G104" s="10"/>
      <c r="H104" s="15">
        <f>IF(E104="","",IF(D104="Sì", 8-E104, E104))</f>
        <v>4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66.666666666666671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25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4</v>
      </c>
      <c r="F106" s="15"/>
      <c r="G106" s="10"/>
      <c r="H106" s="15">
        <f>IF(E106="","",IF(D106="Sì", 8-E106, E106))</f>
        <v>4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3</v>
      </c>
      <c r="G107" s="10"/>
      <c r="H107" s="15">
        <f>IF(E107="","",IF(D107="Sì", 8-E107, E107))</f>
        <v>3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6</v>
      </c>
      <c r="M115" s="15">
        <f>IFERROR(AVERAGEIF(I115:I118,"&lt;&gt;"),"")</f>
        <v>6.75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6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6</v>
      </c>
      <c r="J116" s="10"/>
      <c r="K116" s="17" t="s">
        <v>69</v>
      </c>
      <c r="L116" s="15">
        <f>IF(L115="","",(L115-1)*100/6)</f>
        <v>83.333333333333329</v>
      </c>
      <c r="M116" s="15">
        <f>IF(M115="","",(M115-1)*100/6)</f>
        <v>95.833333333333329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24</v>
      </c>
      <c r="M117" s="15">
        <f>IFERROR(SUM(I115:I118),"")</f>
        <v>27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4</v>
      </c>
      <c r="F118" s="15">
        <v>7</v>
      </c>
      <c r="G118" s="10"/>
      <c r="H118" s="15">
        <f>IF(E118="","",IF(D118="Sì", 8-E118, E118))</f>
        <v>4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5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2</v>
      </c>
      <c r="F127" s="15"/>
      <c r="G127" s="10"/>
      <c r="H127" s="15">
        <f>IF(E127="","",IF(D127="Sì", 8-E127, E127))</f>
        <v>6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66.666666666666671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7</v>
      </c>
      <c r="F128" s="15"/>
      <c r="G128" s="10"/>
      <c r="H128" s="15">
        <f>IF(E128="","",IF(D128="Sì", 8-E128, E128))</f>
        <v>7</v>
      </c>
      <c r="I128" s="15" t="str">
        <f t="shared" si="11"/>
        <v/>
      </c>
      <c r="J128" s="10"/>
      <c r="K128" s="17" t="s">
        <v>72</v>
      </c>
      <c r="L128" s="15">
        <f>IFERROR(SUM(H126:H128),"")</f>
        <v>15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7</v>
      </c>
      <c r="F136" s="15">
        <v>6</v>
      </c>
      <c r="G136" s="10"/>
      <c r="H136" s="15">
        <f>IF(E136="","",IF(D136="Sì", 8-E136, E136))</f>
        <v>7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6</v>
      </c>
      <c r="M136" s="15">
        <f>IFERROR(AVERAGEIF(I136:I137,"&lt;&gt;"),"")</f>
        <v>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5</v>
      </c>
      <c r="F137" s="15">
        <v>4</v>
      </c>
      <c r="G137" s="10"/>
      <c r="H137" s="15">
        <f>IF(E137="","",IF(D137="Sì", 8-E137, E137))</f>
        <v>5</v>
      </c>
      <c r="I137" s="15">
        <f>IF(F137="","",IF(D137="Sì", 8-F137, F137))</f>
        <v>4</v>
      </c>
      <c r="J137" s="10"/>
      <c r="K137" s="17" t="s">
        <v>69</v>
      </c>
      <c r="L137" s="15">
        <f>IF(L136="","",(L136-1)*100/6)</f>
        <v>83.333333333333329</v>
      </c>
      <c r="M137" s="15">
        <f>IF(M136="","",(M136-1)*100/6)</f>
        <v>66.666666666666671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12</v>
      </c>
      <c r="M138" s="15">
        <f>IFERROR(SUM(I136:I137),"")</f>
        <v>10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4</v>
      </c>
      <c r="F158" s="15">
        <v>5</v>
      </c>
      <c r="G158" s="10"/>
      <c r="H158" s="15">
        <f t="shared" ref="H158:H167" si="13">IF(E158="","",IF(D158="Sì", 5-E158, E158-1))</f>
        <v>3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35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3</v>
      </c>
      <c r="F159" s="15">
        <v>1</v>
      </c>
      <c r="G159" s="10"/>
      <c r="H159" s="15">
        <f t="shared" si="13"/>
        <v>2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87.5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2</v>
      </c>
      <c r="F161" s="15">
        <v>1</v>
      </c>
      <c r="G161" s="10"/>
      <c r="H161" s="15">
        <f t="shared" si="13"/>
        <v>3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2</v>
      </c>
      <c r="G165" s="10"/>
      <c r="H165" s="15">
        <f t="shared" si="13"/>
        <v>3</v>
      </c>
      <c r="I165" s="15">
        <f t="shared" si="14"/>
        <v>3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5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0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387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CB541A9A-FE71-4B11-BEEA-8B0343BBFB6C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F86A60D2-69EC-440B-B470-C08BFB56BF3C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6B4BDD36-99CD-439B-B24B-227F34528C17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EEBECA4A-A258-4AF9-954A-752D0C8705F2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7FADA325-082A-4DC2-A51C-0BDED0E014B4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896231B7-3D79-4123-B206-5E09B9E244E6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F4221-68CE-4385-9AE7-448A8B6C1C29}">
  <dimension ref="B1:Q205"/>
  <sheetViews>
    <sheetView topLeftCell="A185" zoomScale="132" zoomScaleNormal="109" workbookViewId="0">
      <selection activeCell="Q47" sqref="Q47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388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24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3.4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4</v>
      </c>
      <c r="F20" s="5">
        <f t="shared" ref="F20:F29" si="0">IF(E20="","",IF(D20="Sì", 8-E20, E20))</f>
        <v>4</v>
      </c>
      <c r="G20" s="5"/>
      <c r="H20" s="3"/>
      <c r="I20" s="9" t="s">
        <v>32</v>
      </c>
      <c r="J20" s="5">
        <f>IF(J19="","",( J19-1 )*100/6)</f>
        <v>40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6</v>
      </c>
      <c r="F21" s="5">
        <f t="shared" si="0"/>
        <v>6</v>
      </c>
      <c r="G21" s="5"/>
      <c r="H21" s="3"/>
      <c r="I21" s="9" t="s">
        <v>35</v>
      </c>
      <c r="J21" s="5">
        <f>IFERROR(SUM(F20:F29),"")</f>
        <v>34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6</v>
      </c>
      <c r="F22" s="5">
        <f t="shared" si="0"/>
        <v>6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3</v>
      </c>
      <c r="F23" s="5">
        <f t="shared" si="0"/>
        <v>3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5</v>
      </c>
      <c r="F24" s="5">
        <f t="shared" si="0"/>
        <v>5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2</v>
      </c>
      <c r="F26" s="5">
        <f t="shared" si="0"/>
        <v>2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1</v>
      </c>
      <c r="F27" s="5">
        <f t="shared" si="0"/>
        <v>1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3</v>
      </c>
      <c r="F28" s="5">
        <f t="shared" si="0"/>
        <v>3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5</v>
      </c>
      <c r="F29" s="5">
        <f t="shared" si="0"/>
        <v>3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 t="s">
        <v>384</v>
      </c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243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5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5</v>
      </c>
      <c r="J38" s="10"/>
      <c r="K38" s="17" t="s">
        <v>66</v>
      </c>
      <c r="L38" s="15">
        <f>IFERROR(AVERAGEIF(H38:H47,"&lt;&gt;"),"")</f>
        <v>4.9000000000000004</v>
      </c>
      <c r="M38" s="15">
        <f>IFERROR(AVERAGEIF(I38:I47,"&lt;&gt;"),"")</f>
        <v>5.2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5</v>
      </c>
      <c r="F39" s="15">
        <v>7</v>
      </c>
      <c r="G39" s="10"/>
      <c r="H39" s="15">
        <f t="shared" si="1"/>
        <v>5</v>
      </c>
      <c r="I39" s="15">
        <f t="shared" si="2"/>
        <v>7</v>
      </c>
      <c r="J39" s="10"/>
      <c r="K39" s="17" t="s">
        <v>69</v>
      </c>
      <c r="L39" s="15">
        <f>IF(L38="","",(L38-1)*100/6)</f>
        <v>65.000000000000014</v>
      </c>
      <c r="M39" s="15">
        <f>IF(M38="","",(M38-1)*100/6)</f>
        <v>70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5</v>
      </c>
      <c r="F40" s="15">
        <v>4</v>
      </c>
      <c r="G40" s="10"/>
      <c r="H40" s="15">
        <f t="shared" si="1"/>
        <v>3</v>
      </c>
      <c r="I40" s="15">
        <f t="shared" si="2"/>
        <v>4</v>
      </c>
      <c r="J40" s="10"/>
      <c r="K40" s="17" t="s">
        <v>72</v>
      </c>
      <c r="L40" s="15">
        <f>IFERROR(SUM(H38:H47),"")</f>
        <v>49</v>
      </c>
      <c r="M40" s="15">
        <f>IFERROR(SUM(H38:H47),"")</f>
        <v>49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6</v>
      </c>
      <c r="G42" s="10"/>
      <c r="H42" s="15">
        <f t="shared" si="1"/>
        <v>5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6</v>
      </c>
      <c r="F43" s="15">
        <v>6</v>
      </c>
      <c r="G43" s="10"/>
      <c r="H43" s="15">
        <f t="shared" si="1"/>
        <v>6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4</v>
      </c>
      <c r="F44" s="15">
        <v>4</v>
      </c>
      <c r="G44" s="10"/>
      <c r="H44" s="15">
        <f t="shared" si="1"/>
        <v>4</v>
      </c>
      <c r="I44" s="15">
        <f t="shared" si="2"/>
        <v>4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3</v>
      </c>
      <c r="G45" s="10"/>
      <c r="H45" s="15">
        <f t="shared" si="1"/>
        <v>5</v>
      </c>
      <c r="I45" s="15">
        <f t="shared" si="2"/>
        <v>5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4</v>
      </c>
      <c r="F47" s="15">
        <v>3</v>
      </c>
      <c r="G47" s="10"/>
      <c r="H47" s="15">
        <f t="shared" si="1"/>
        <v>4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5</v>
      </c>
      <c r="F55" s="15">
        <v>6</v>
      </c>
      <c r="G55" s="10"/>
      <c r="H55" s="15">
        <f t="shared" ref="H55:H60" si="3">IF(E55="","",IF(D55="Sì", 8-E55, E55))</f>
        <v>5</v>
      </c>
      <c r="I55" s="15">
        <f>IF(F55="","",IF(D55="Sì", 8-F55, F55))</f>
        <v>6</v>
      </c>
      <c r="J55" s="10"/>
      <c r="K55" s="17" t="s">
        <v>66</v>
      </c>
      <c r="L55" s="15">
        <f>IFERROR(AVERAGEIF(H55:H60,"&lt;&gt;"),"")</f>
        <v>4.5</v>
      </c>
      <c r="M55" s="15">
        <f>IFERROR(AVERAGEIF(I55:I60,"&lt;&gt;"),"")</f>
        <v>4.5999999999999996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4</v>
      </c>
      <c r="F56" s="15">
        <v>4</v>
      </c>
      <c r="G56" s="10"/>
      <c r="H56" s="15">
        <f t="shared" si="3"/>
        <v>4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58.333333333333336</v>
      </c>
      <c r="M56" s="15">
        <f>IF(M55="","",(M55-1)*100/6)</f>
        <v>59.999999999999993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3</v>
      </c>
      <c r="F57" s="15">
        <v>3</v>
      </c>
      <c r="G57" s="10"/>
      <c r="H57" s="15">
        <f t="shared" si="3"/>
        <v>3</v>
      </c>
      <c r="I57" s="15">
        <f t="shared" si="4"/>
        <v>3</v>
      </c>
      <c r="J57" s="10"/>
      <c r="K57" s="17" t="s">
        <v>72</v>
      </c>
      <c r="L57" s="15">
        <f>IFERROR(SUM(H55:H60),"")</f>
        <v>27</v>
      </c>
      <c r="M57" s="15">
        <f>IFERROR(SUM(I55:I60),"")</f>
        <v>23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4</v>
      </c>
      <c r="G58" s="10"/>
      <c r="H58" s="15">
        <f t="shared" si="3"/>
        <v>3</v>
      </c>
      <c r="I58" s="15">
        <f t="shared" si="4"/>
        <v>4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6</v>
      </c>
      <c r="G59" s="10"/>
      <c r="H59" s="15">
        <f t="shared" si="3"/>
        <v>6</v>
      </c>
      <c r="I59" s="15">
        <f t="shared" si="4"/>
        <v>6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4</v>
      </c>
      <c r="G68" s="10"/>
      <c r="H68" s="15">
        <f>IF(E68="","",IF(D68="Sì", 8-E68, E68))</f>
        <v>5</v>
      </c>
      <c r="I68" s="15">
        <f>IF(F68="","",IF(D68="Sì", 8-F68, F68))</f>
        <v>4</v>
      </c>
      <c r="J68" s="10"/>
      <c r="K68" s="17" t="s">
        <v>66</v>
      </c>
      <c r="L68" s="15">
        <f>IFERROR(AVERAGEIF(H68:H70,"&lt;&gt;"),"")</f>
        <v>5.333333333333333</v>
      </c>
      <c r="M68" s="15">
        <f>IFERROR(AVERAGEIF(I68:I70,"&lt;&gt;"),"")</f>
        <v>5.333333333333333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4</v>
      </c>
      <c r="F69" s="15">
        <v>5</v>
      </c>
      <c r="G69" s="10"/>
      <c r="H69" s="15">
        <f>IF(E69="","",IF(D69="Sì", 8-E69, E69))</f>
        <v>4</v>
      </c>
      <c r="I69" s="15">
        <f t="shared" ref="I69:I70" si="5">IF(F69="","",IF(D69="Sì", 8-F69, F69))</f>
        <v>5</v>
      </c>
      <c r="J69" s="10"/>
      <c r="K69" s="17" t="s">
        <v>69</v>
      </c>
      <c r="L69" s="15">
        <f>IF(L68="","",(L68-1)*100/6)</f>
        <v>72.222222222222214</v>
      </c>
      <c r="M69" s="15">
        <f>IF(M68="","",(M68-1)*100/6)</f>
        <v>72.222222222222214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1</v>
      </c>
      <c r="F70" s="15">
        <v>1</v>
      </c>
      <c r="G70" s="10"/>
      <c r="H70" s="15">
        <f>IF(E70="","",IF(D70="Sì", 8-E70, E70))</f>
        <v>7</v>
      </c>
      <c r="I70" s="15">
        <f t="shared" si="5"/>
        <v>7</v>
      </c>
      <c r="J70" s="10"/>
      <c r="K70" s="17" t="s">
        <v>72</v>
      </c>
      <c r="L70" s="15">
        <f>IFERROR(SUM(H68:H70),"")</f>
        <v>16</v>
      </c>
      <c r="M70" s="15">
        <f>IFERROR(SUM(I68:I70),"")</f>
        <v>16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5</v>
      </c>
      <c r="F78" s="15">
        <v>7</v>
      </c>
      <c r="G78" s="10"/>
      <c r="H78" s="15">
        <f t="shared" ref="H78:H83" si="6">IF(E78="","",IF(D78="Sì", 8-E78, E78))</f>
        <v>5</v>
      </c>
      <c r="I78" s="15">
        <f>IF(F78="","",IF(D78="Sì", 8-F78, F78))</f>
        <v>7</v>
      </c>
      <c r="J78" s="10"/>
      <c r="K78" s="17" t="s">
        <v>66</v>
      </c>
      <c r="L78" s="15">
        <f>IFERROR(AVERAGEIF(H78:H83,"&lt;&gt;"),"")</f>
        <v>3.1666666666666665</v>
      </c>
      <c r="M78" s="15">
        <f>IFERROR(AVERAGEIF(I78:I83,"&lt;&gt;"),"")</f>
        <v>4.833333333333333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4</v>
      </c>
      <c r="F79" s="15">
        <v>5</v>
      </c>
      <c r="G79" s="10"/>
      <c r="H79" s="15">
        <f t="shared" si="6"/>
        <v>4</v>
      </c>
      <c r="I79" s="15">
        <f t="shared" ref="I79:I83" si="7">IF(F79="","",IF(D79="Sì", 8-F79, F79))</f>
        <v>5</v>
      </c>
      <c r="J79" s="10"/>
      <c r="K79" s="17" t="s">
        <v>69</v>
      </c>
      <c r="L79" s="15">
        <f>IF(L78="","",(L78-1)*100/6)</f>
        <v>36.111111111111107</v>
      </c>
      <c r="M79" s="15">
        <f>IF(M78="","",(M78-1)*100/6)</f>
        <v>63.888888888888886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5</v>
      </c>
      <c r="F80" s="15">
        <v>7</v>
      </c>
      <c r="G80" s="10"/>
      <c r="H80" s="15">
        <f t="shared" si="6"/>
        <v>5</v>
      </c>
      <c r="I80" s="15">
        <f t="shared" si="7"/>
        <v>7</v>
      </c>
      <c r="J80" s="10"/>
      <c r="K80" s="17" t="s">
        <v>72</v>
      </c>
      <c r="L80" s="15">
        <f>IFERROR(SUM(H78:H83),"")</f>
        <v>19</v>
      </c>
      <c r="M80" s="15">
        <f>IFERROR(SUM(I78:I83),"")</f>
        <v>29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4</v>
      </c>
      <c r="G81" s="10"/>
      <c r="H81" s="15">
        <f t="shared" si="6"/>
        <v>2</v>
      </c>
      <c r="I81" s="15">
        <f t="shared" si="7"/>
        <v>4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3</v>
      </c>
      <c r="G82" s="10"/>
      <c r="H82" s="15">
        <f t="shared" si="6"/>
        <v>1</v>
      </c>
      <c r="I82" s="15">
        <f t="shared" si="7"/>
        <v>3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5</v>
      </c>
      <c r="G83" s="10"/>
      <c r="H83" s="15">
        <f t="shared" si="6"/>
        <v>2</v>
      </c>
      <c r="I83" s="15">
        <f t="shared" si="7"/>
        <v>3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 t="s">
        <v>389</v>
      </c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4</v>
      </c>
      <c r="F91" s="15">
        <v>5</v>
      </c>
      <c r="G91" s="10"/>
      <c r="H91" s="15">
        <f>IF(E91="","",IF(D91="Sì", 8-E91, E91))</f>
        <v>4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5.8</v>
      </c>
      <c r="M91" s="15">
        <f>IFERROR(AVERAGEIF(I91:I95,"&lt;&gt;"),"")</f>
        <v>5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3</v>
      </c>
      <c r="G92" s="10"/>
      <c r="H92" s="15">
        <f>IF(E92="","",IF(D92="Sì", 8-E92, E92))</f>
        <v>7</v>
      </c>
      <c r="I92" s="15">
        <f t="shared" ref="I92:I95" si="8">IF(F92="","",IF(D92="Sì", 8-F92, F92))</f>
        <v>5</v>
      </c>
      <c r="J92" s="10"/>
      <c r="K92" s="17" t="s">
        <v>69</v>
      </c>
      <c r="L92" s="15">
        <f>IF(L91="","",(L91-1)*100/6)</f>
        <v>80</v>
      </c>
      <c r="M92" s="15">
        <f>IF(M91="","",(M91-1)*100/6)</f>
        <v>66.666666666666671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3</v>
      </c>
      <c r="G93" s="10"/>
      <c r="H93" s="15">
        <f>IF(E93="","",IF(D93="Sì", 8-E93, E93))</f>
        <v>7</v>
      </c>
      <c r="I93" s="15">
        <f t="shared" si="8"/>
        <v>5</v>
      </c>
      <c r="J93" s="10"/>
      <c r="K93" s="17" t="s">
        <v>72</v>
      </c>
      <c r="L93" s="15">
        <f>IFERROR(SUM(H91:H95),"")</f>
        <v>29</v>
      </c>
      <c r="M93" s="15">
        <f>IFERROR(SUM(I91:I95),"")</f>
        <v>25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4</v>
      </c>
      <c r="G94" s="10"/>
      <c r="H94" s="15">
        <f>IF(E94="","",IF(D94="Sì", 8-E94, E94))</f>
        <v>5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2</v>
      </c>
      <c r="G95" s="10"/>
      <c r="H95" s="15">
        <f>IF(E95="","",IF(D95="Sì", 8-E95, E95))</f>
        <v>6</v>
      </c>
      <c r="I95" s="15">
        <f t="shared" si="8"/>
        <v>6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7</v>
      </c>
      <c r="F103" s="15"/>
      <c r="G103" s="10"/>
      <c r="H103" s="15">
        <f>IF(E103="","",IF(D103="Sì", 8-E103, E103))</f>
        <v>7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5.6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76.666666666666657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2</v>
      </c>
      <c r="F105" s="15"/>
      <c r="G105" s="10"/>
      <c r="H105" s="15">
        <f>IF(E105="","",IF(D105="Sì", 8-E105, E105))</f>
        <v>6</v>
      </c>
      <c r="I105" s="15" t="str">
        <f t="shared" si="9"/>
        <v/>
      </c>
      <c r="J105" s="10"/>
      <c r="K105" s="17" t="s">
        <v>72</v>
      </c>
      <c r="L105" s="15">
        <f>IFERROR(SUM(H103:H107),"")</f>
        <v>28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6</v>
      </c>
      <c r="F106" s="15"/>
      <c r="G106" s="10"/>
      <c r="H106" s="15">
        <f>IF(E106="","",IF(D106="Sì", 8-E106, E106))</f>
        <v>6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4</v>
      </c>
      <c r="F107" s="15">
        <v>3</v>
      </c>
      <c r="G107" s="10"/>
      <c r="H107" s="15">
        <f>IF(E107="","",IF(D107="Sì", 8-E107, E107))</f>
        <v>4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5</v>
      </c>
      <c r="F115" s="15">
        <v>6</v>
      </c>
      <c r="G115" s="10"/>
      <c r="H115" s="15">
        <f>IF(E115="","",IF(D115="Sì", 8-E115, E115))</f>
        <v>3</v>
      </c>
      <c r="I115" s="15">
        <f>IF(F115="","",IF(D115="Sì", 8-F115, F115))</f>
        <v>2</v>
      </c>
      <c r="J115" s="10"/>
      <c r="K115" s="17" t="s">
        <v>66</v>
      </c>
      <c r="L115" s="15">
        <f>IFERROR(AVERAGEIF(H115:H118,"&lt;&gt;"),"")</f>
        <v>5.25</v>
      </c>
      <c r="M115" s="15">
        <f>IFERROR(AVERAGEIF(I115:I118,"&lt;&gt;"),"")</f>
        <v>4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5</v>
      </c>
      <c r="F116" s="15">
        <v>3</v>
      </c>
      <c r="G116" s="10"/>
      <c r="H116" s="15">
        <f>IF(E116="","",IF(D116="Sì", 8-E116, E116))</f>
        <v>5</v>
      </c>
      <c r="I116" s="15">
        <f t="shared" ref="I116:I117" si="10">IF(F116="","",IF(D116="Sì", 8-F116, F116))</f>
        <v>3</v>
      </c>
      <c r="J116" s="10"/>
      <c r="K116" s="17" t="s">
        <v>69</v>
      </c>
      <c r="L116" s="15">
        <f>IF(L115="","",(L115-1)*100/6)</f>
        <v>70.833333333333329</v>
      </c>
      <c r="M116" s="15">
        <f>IF(M115="","",(M115-1)*100/6)</f>
        <v>50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4</v>
      </c>
      <c r="G117" s="10"/>
      <c r="H117" s="15">
        <f>IF(E117="","",IF(D117="Sì", 8-E117, E117))</f>
        <v>6</v>
      </c>
      <c r="I117" s="15">
        <f t="shared" si="10"/>
        <v>4</v>
      </c>
      <c r="J117" s="10"/>
      <c r="K117" s="17" t="s">
        <v>72</v>
      </c>
      <c r="L117" s="15">
        <f>IFERROR(SUM(H115:H118),"")</f>
        <v>21</v>
      </c>
      <c r="M117" s="15">
        <f>IFERROR(SUM(I115:I118),"")</f>
        <v>16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6</v>
      </c>
      <c r="F126" s="15"/>
      <c r="G126" s="10"/>
      <c r="H126" s="15">
        <f>IF(E126="","",IF(D126="Sì", 8-E126, E126))</f>
        <v>6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6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2</v>
      </c>
      <c r="F127" s="15"/>
      <c r="G127" s="10"/>
      <c r="H127" s="15">
        <f>IF(E127="","",IF(D127="Sì", 8-E127, E127))</f>
        <v>6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83.333333333333329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18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6</v>
      </c>
      <c r="G136" s="10"/>
      <c r="H136" s="15">
        <f>IF(E136="","",IF(D136="Sì", 8-E136, E136))</f>
        <v>5</v>
      </c>
      <c r="I136" s="15">
        <f>IF(F136="","",IF(D136="Sì", 8-F136, F136))</f>
        <v>6</v>
      </c>
      <c r="J136" s="10"/>
      <c r="K136" s="17" t="s">
        <v>66</v>
      </c>
      <c r="L136" s="15">
        <f>IFERROR(AVERAGEIF(H136:H137,"&lt;&gt;"),"")</f>
        <v>4</v>
      </c>
      <c r="M136" s="15">
        <f>IFERROR(AVERAGEIF(I136:I137,"&lt;&gt;"),"")</f>
        <v>5.5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3</v>
      </c>
      <c r="F137" s="15">
        <v>5</v>
      </c>
      <c r="G137" s="10"/>
      <c r="H137" s="15">
        <f>IF(E137="","",IF(D137="Sì", 8-E137, E137))</f>
        <v>3</v>
      </c>
      <c r="I137" s="15">
        <f>IF(F137="","",IF(D137="Sì", 8-F137, F137))</f>
        <v>5</v>
      </c>
      <c r="J137" s="10"/>
      <c r="K137" s="17" t="s">
        <v>69</v>
      </c>
      <c r="L137" s="15">
        <f>IF(L136="","",(L136-1)*100/6)</f>
        <v>50</v>
      </c>
      <c r="M137" s="15">
        <f>IF(M136="","",(M136-1)*100/6)</f>
        <v>75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8</v>
      </c>
      <c r="M138" s="15">
        <f>IFERROR(SUM(I136:I137),"")</f>
        <v>11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>IF(E147="","",E147)</f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4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36</v>
      </c>
      <c r="M158" s="15">
        <f>IFERROR(SUM(I158:I167),"")</f>
        <v>39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90</v>
      </c>
      <c r="M159" s="15">
        <f>IF(M158="","", M158*2.5 )</f>
        <v>97.5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1</v>
      </c>
      <c r="F161" s="15">
        <v>1</v>
      </c>
      <c r="G161" s="10"/>
      <c r="H161" s="15">
        <f t="shared" si="13"/>
        <v>4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5</v>
      </c>
      <c r="G162" s="10"/>
      <c r="H162" s="15">
        <f t="shared" si="13"/>
        <v>3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1</v>
      </c>
      <c r="G163" s="10"/>
      <c r="H163" s="15">
        <f t="shared" si="13"/>
        <v>3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5</v>
      </c>
      <c r="G164" s="10"/>
      <c r="H164" s="15">
        <f t="shared" si="13"/>
        <v>4</v>
      </c>
      <c r="I164" s="15">
        <f t="shared" si="14"/>
        <v>4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7D010F67-3753-47D8-B490-3FDFF784892E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1198FC2-F077-4E72-882B-C85330DF8820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94549A85-CF29-4B07-92B0-75B4AD52A57E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D74F64F5-1102-442F-9480-9FEB02EE288A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08FC0F2B-4C8F-44C2-B2D8-4C9E875CA5A2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777F313B-FFFF-43F7-BF01-42424258C59A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16BB-FE2A-4C70-B440-128801272FB0}">
  <dimension ref="B1:Q205"/>
  <sheetViews>
    <sheetView topLeftCell="A183" zoomScale="96" zoomScaleNormal="109" workbookViewId="0">
      <selection activeCell="F70" sqref="F70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390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26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2.7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2</v>
      </c>
      <c r="F20" s="5">
        <f t="shared" ref="F20:F29" si="0">IF(E20="","",IF(D20="Sì", 8-E20, E20))</f>
        <v>2</v>
      </c>
      <c r="G20" s="5"/>
      <c r="H20" s="3"/>
      <c r="I20" s="9" t="s">
        <v>32</v>
      </c>
      <c r="J20" s="5">
        <f>IF(J19="","",( J19-1 )*100/6)</f>
        <v>28.333333333333339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3</v>
      </c>
      <c r="F21" s="5">
        <f t="shared" si="0"/>
        <v>3</v>
      </c>
      <c r="G21" s="5"/>
      <c r="H21" s="3"/>
      <c r="I21" s="9" t="s">
        <v>35</v>
      </c>
      <c r="J21" s="5">
        <f>IFERROR(SUM(F20:F29),"")</f>
        <v>27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2</v>
      </c>
      <c r="F22" s="5">
        <f t="shared" si="0"/>
        <v>2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1</v>
      </c>
      <c r="F24" s="5">
        <f t="shared" si="0"/>
        <v>1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3</v>
      </c>
      <c r="F25" s="5">
        <f t="shared" si="0"/>
        <v>3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3</v>
      </c>
      <c r="F26" s="5">
        <f t="shared" si="0"/>
        <v>3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3</v>
      </c>
      <c r="F27" s="5">
        <f t="shared" si="0"/>
        <v>3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2</v>
      </c>
      <c r="F28" s="5">
        <f t="shared" si="0"/>
        <v>2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2</v>
      </c>
      <c r="F29" s="5">
        <f t="shared" si="0"/>
        <v>6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 t="s">
        <v>60</v>
      </c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6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4.9000000000000004</v>
      </c>
      <c r="M38" s="15">
        <f>IFERROR(AVERAGEIF(I38:I47,"&lt;&gt;"),"")</f>
        <v>5.2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6</v>
      </c>
      <c r="G39" s="10"/>
      <c r="H39" s="15">
        <f t="shared" si="1"/>
        <v>6</v>
      </c>
      <c r="I39" s="15">
        <f t="shared" si="2"/>
        <v>6</v>
      </c>
      <c r="J39" s="10"/>
      <c r="K39" s="17" t="s">
        <v>69</v>
      </c>
      <c r="L39" s="15">
        <f>IF(L38="","",(L38-1)*100/6)</f>
        <v>65.000000000000014</v>
      </c>
      <c r="M39" s="15">
        <f>IF(M38="","",(M38-1)*100/6)</f>
        <v>70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4</v>
      </c>
      <c r="F40" s="15">
        <v>4</v>
      </c>
      <c r="G40" s="10"/>
      <c r="H40" s="15">
        <f t="shared" si="1"/>
        <v>4</v>
      </c>
      <c r="I40" s="15">
        <f t="shared" si="2"/>
        <v>4</v>
      </c>
      <c r="J40" s="10"/>
      <c r="K40" s="17" t="s">
        <v>72</v>
      </c>
      <c r="L40" s="15">
        <f>IFERROR(SUM(H38:H47),"")</f>
        <v>49</v>
      </c>
      <c r="M40" s="15">
        <f>IFERROR(SUM(H38:H47),"")</f>
        <v>49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6</v>
      </c>
      <c r="F41" s="15">
        <v>6</v>
      </c>
      <c r="G41" s="10"/>
      <c r="H41" s="15">
        <f t="shared" si="1"/>
        <v>6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5</v>
      </c>
      <c r="G42" s="10"/>
      <c r="H42" s="15">
        <f t="shared" si="1"/>
        <v>5</v>
      </c>
      <c r="I42" s="15">
        <f t="shared" si="2"/>
        <v>5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6</v>
      </c>
      <c r="G43" s="10"/>
      <c r="H43" s="15">
        <f t="shared" si="1"/>
        <v>5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3</v>
      </c>
      <c r="G44" s="10"/>
      <c r="H44" s="15">
        <f t="shared" si="1"/>
        <v>3</v>
      </c>
      <c r="I44" s="15">
        <f t="shared" si="2"/>
        <v>3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2</v>
      </c>
      <c r="G45" s="10"/>
      <c r="H45" s="15">
        <f t="shared" si="1"/>
        <v>5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5</v>
      </c>
      <c r="G46" s="10"/>
      <c r="H46" s="15">
        <f t="shared" si="1"/>
        <v>5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5</v>
      </c>
      <c r="F47" s="15">
        <v>5</v>
      </c>
      <c r="G47" s="10"/>
      <c r="H47" s="15">
        <f t="shared" si="1"/>
        <v>5</v>
      </c>
      <c r="I47" s="15">
        <f t="shared" si="2"/>
        <v>5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5.666666666666667</v>
      </c>
      <c r="M55" s="15">
        <f>IFERROR(AVERAGEIF(I55:I60,"&lt;&gt;"),"")</f>
        <v>4.8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5</v>
      </c>
      <c r="F56" s="15">
        <v>3</v>
      </c>
      <c r="G56" s="10"/>
      <c r="H56" s="15">
        <f t="shared" si="3"/>
        <v>5</v>
      </c>
      <c r="I56" s="15">
        <f t="shared" ref="I56:I60" si="4">IF(F56="","",IF(D56="Sì", 8-F56, F56))</f>
        <v>3</v>
      </c>
      <c r="J56" s="10"/>
      <c r="K56" s="17" t="s">
        <v>69</v>
      </c>
      <c r="L56" s="15">
        <f>IF(L55="","",(L55-1)*100/6)</f>
        <v>77.777777777777786</v>
      </c>
      <c r="M56" s="15">
        <f>IF(M55="","",(M55-1)*100/6)</f>
        <v>63.333333333333336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6</v>
      </c>
      <c r="F57" s="15">
        <v>4</v>
      </c>
      <c r="G57" s="10"/>
      <c r="H57" s="15">
        <f t="shared" si="3"/>
        <v>6</v>
      </c>
      <c r="I57" s="15">
        <f t="shared" si="4"/>
        <v>4</v>
      </c>
      <c r="J57" s="10"/>
      <c r="K57" s="17" t="s">
        <v>72</v>
      </c>
      <c r="L57" s="15">
        <f>IFERROR(SUM(H55:H60),"")</f>
        <v>34</v>
      </c>
      <c r="M57" s="15">
        <f>IFERROR(SUM(I55:I60),"")</f>
        <v>24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4</v>
      </c>
      <c r="F58" s="15">
        <v>5</v>
      </c>
      <c r="G58" s="10"/>
      <c r="H58" s="15">
        <f t="shared" si="3"/>
        <v>4</v>
      </c>
      <c r="I58" s="15">
        <f t="shared" si="4"/>
        <v>3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3</v>
      </c>
      <c r="F68" s="15">
        <v>3</v>
      </c>
      <c r="G68" s="10"/>
      <c r="H68" s="15">
        <f>IF(E68="","",IF(D68="Sì", 8-E68, E68))</f>
        <v>3</v>
      </c>
      <c r="I68" s="15">
        <f>IF(F68="","",IF(D68="Sì", 8-F68, F68))</f>
        <v>3</v>
      </c>
      <c r="J68" s="10"/>
      <c r="K68" s="17" t="s">
        <v>66</v>
      </c>
      <c r="L68" s="15">
        <f>IFERROR(AVERAGEIF(H68:H70,"&lt;&gt;"),"")</f>
        <v>3</v>
      </c>
      <c r="M68" s="15">
        <f>IFERROR(AVERAGEIF(I68:I70,"&lt;&gt;"),"")</f>
        <v>4.333333333333333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3</v>
      </c>
      <c r="F69" s="15">
        <v>4</v>
      </c>
      <c r="G69" s="10"/>
      <c r="H69" s="15">
        <f>IF(E69="","",IF(D69="Sì", 8-E69, E69))</f>
        <v>3</v>
      </c>
      <c r="I69" s="15">
        <f t="shared" ref="I69:I70" si="5">IF(F69="","",IF(D69="Sì", 8-F69, F69))</f>
        <v>4</v>
      </c>
      <c r="J69" s="10"/>
      <c r="K69" s="17" t="s">
        <v>69</v>
      </c>
      <c r="L69" s="15">
        <f>IF(L68="","",(L68-1)*100/6)</f>
        <v>33.333333333333336</v>
      </c>
      <c r="M69" s="15">
        <f>IF(M68="","",(M68-1)*100/6)</f>
        <v>55.55555555555555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5</v>
      </c>
      <c r="F70" s="15">
        <v>2</v>
      </c>
      <c r="G70" s="10"/>
      <c r="H70" s="15">
        <f>IF(E70="","",IF(D70="Sì", 8-E70, E70))</f>
        <v>3</v>
      </c>
      <c r="I70" s="15">
        <f t="shared" si="5"/>
        <v>6</v>
      </c>
      <c r="J70" s="10"/>
      <c r="K70" s="17" t="s">
        <v>72</v>
      </c>
      <c r="L70" s="15">
        <f>IFERROR(SUM(H68:H70),"")</f>
        <v>9</v>
      </c>
      <c r="M70" s="15">
        <f>IFERROR(SUM(I68:I70),"")</f>
        <v>13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2</v>
      </c>
      <c r="G78" s="10"/>
      <c r="H78" s="15">
        <f t="shared" ref="H78:H83" si="6">IF(E78="","",IF(D78="Sì", 8-E78, E78))</f>
        <v>3</v>
      </c>
      <c r="I78" s="15">
        <f>IF(F78="","",IF(D78="Sì", 8-F78, F78))</f>
        <v>2</v>
      </c>
      <c r="J78" s="10"/>
      <c r="K78" s="17" t="s">
        <v>66</v>
      </c>
      <c r="L78" s="15">
        <f>IFERROR(AVERAGEIF(H78:H83,"&lt;&gt;"),"")</f>
        <v>2.3333333333333335</v>
      </c>
      <c r="M78" s="15">
        <f>IFERROR(AVERAGEIF(I78:I83,"&lt;&gt;"),"")</f>
        <v>2.1666666666666665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2</v>
      </c>
      <c r="F79" s="15">
        <v>2</v>
      </c>
      <c r="G79" s="10"/>
      <c r="H79" s="15">
        <f t="shared" si="6"/>
        <v>2</v>
      </c>
      <c r="I79" s="15">
        <f t="shared" ref="I79:I83" si="7">IF(F79="","",IF(D79="Sì", 8-F79, F79))</f>
        <v>2</v>
      </c>
      <c r="J79" s="10"/>
      <c r="K79" s="17" t="s">
        <v>69</v>
      </c>
      <c r="L79" s="15">
        <f>IF(L78="","",(L78-1)*100/6)</f>
        <v>22.222222222222225</v>
      </c>
      <c r="M79" s="15">
        <f>IF(M78="","",(M78-1)*100/6)</f>
        <v>19.444444444444443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4</v>
      </c>
      <c r="F80" s="15">
        <v>4</v>
      </c>
      <c r="G80" s="10"/>
      <c r="H80" s="15">
        <f t="shared" si="6"/>
        <v>4</v>
      </c>
      <c r="I80" s="15">
        <f t="shared" si="7"/>
        <v>4</v>
      </c>
      <c r="J80" s="10"/>
      <c r="K80" s="17" t="s">
        <v>72</v>
      </c>
      <c r="L80" s="15">
        <f>IFERROR(SUM(H78:H83),"")</f>
        <v>14</v>
      </c>
      <c r="M80" s="15">
        <f>IFERROR(SUM(I78:I83),"")</f>
        <v>13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2</v>
      </c>
      <c r="G81" s="10"/>
      <c r="H81" s="15">
        <f t="shared" si="6"/>
        <v>2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1</v>
      </c>
      <c r="F82" s="15">
        <v>1</v>
      </c>
      <c r="G82" s="10"/>
      <c r="H82" s="15">
        <f t="shared" si="6"/>
        <v>1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6</v>
      </c>
      <c r="G83" s="10"/>
      <c r="H83" s="15">
        <f t="shared" si="6"/>
        <v>2</v>
      </c>
      <c r="I83" s="15">
        <f t="shared" si="7"/>
        <v>2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5</v>
      </c>
      <c r="F91" s="15">
        <v>5</v>
      </c>
      <c r="G91" s="10"/>
      <c r="H91" s="15">
        <f>IF(E91="","",IF(D91="Sì", 8-E91, E91))</f>
        <v>5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5.2</v>
      </c>
      <c r="M91" s="15">
        <f>IFERROR(AVERAGEIF(I91:I95,"&lt;&gt;"),"")</f>
        <v>4.4000000000000004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3</v>
      </c>
      <c r="F92" s="15">
        <v>5</v>
      </c>
      <c r="G92" s="10"/>
      <c r="H92" s="15">
        <f>IF(E92="","",IF(D92="Sì", 8-E92, E92))</f>
        <v>5</v>
      </c>
      <c r="I92" s="15">
        <f t="shared" ref="I92:I95" si="8">IF(F92="","",IF(D92="Sì", 8-F92, F92))</f>
        <v>3</v>
      </c>
      <c r="J92" s="10"/>
      <c r="K92" s="17" t="s">
        <v>69</v>
      </c>
      <c r="L92" s="15">
        <f>IF(L91="","",(L91-1)*100/6)</f>
        <v>70</v>
      </c>
      <c r="M92" s="15">
        <f>IF(M91="","",(M91-1)*100/6)</f>
        <v>56.666666666666679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4</v>
      </c>
      <c r="G93" s="10"/>
      <c r="H93" s="15">
        <f>IF(E93="","",IF(D93="Sì", 8-E93, E93))</f>
        <v>6</v>
      </c>
      <c r="I93" s="15">
        <f t="shared" si="8"/>
        <v>4</v>
      </c>
      <c r="J93" s="10"/>
      <c r="K93" s="17" t="s">
        <v>72</v>
      </c>
      <c r="L93" s="15">
        <f>IFERROR(SUM(H91:H95),"")</f>
        <v>26</v>
      </c>
      <c r="M93" s="15">
        <f>IFERROR(SUM(I91:I95),"")</f>
        <v>22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4</v>
      </c>
      <c r="F94" s="15">
        <v>3</v>
      </c>
      <c r="G94" s="10"/>
      <c r="H94" s="15">
        <f>IF(E94="","",IF(D94="Sì", 8-E94, E94))</f>
        <v>4</v>
      </c>
      <c r="I94" s="15">
        <f t="shared" si="8"/>
        <v>3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2</v>
      </c>
      <c r="F95" s="15">
        <v>1</v>
      </c>
      <c r="G95" s="10"/>
      <c r="H95" s="15">
        <f>IF(E95="","",IF(D95="Sì", 8-E95, E95))</f>
        <v>6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5.2</v>
      </c>
      <c r="M103" s="15">
        <f>IFERROR(AVERAGEIF(I103:I107,"&lt;&gt;"),"")</f>
        <v>5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70</v>
      </c>
      <c r="M104" s="15">
        <f>IF(M103="","",(M103-1)*100/6)</f>
        <v>66.666666666666671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26</v>
      </c>
      <c r="M105" s="15">
        <f>IFERROR(SUM(I103:I107),"")</f>
        <v>5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5</v>
      </c>
      <c r="F106" s="15"/>
      <c r="G106" s="10"/>
      <c r="H106" s="15">
        <f>IF(E106="","",IF(D106="Sì", 8-E106, E106))</f>
        <v>5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3</v>
      </c>
      <c r="F107" s="15">
        <v>5</v>
      </c>
      <c r="G107" s="10"/>
      <c r="H107" s="15">
        <f>IF(E107="","",IF(D107="Sì", 8-E107, E107))</f>
        <v>3</v>
      </c>
      <c r="I107" s="15">
        <f>IF(F107="","",IF(D107="Sì", 8-F107, F107))</f>
        <v>5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1</v>
      </c>
      <c r="F115" s="15">
        <v>1</v>
      </c>
      <c r="G115" s="10"/>
      <c r="H115" s="15">
        <f>IF(E115="","",IF(D115="Sì", 8-E115, E115))</f>
        <v>7</v>
      </c>
      <c r="I115" s="15">
        <f>IF(F115="","",IF(D115="Sì", 8-F115, F115))</f>
        <v>7</v>
      </c>
      <c r="J115" s="10"/>
      <c r="K115" s="17" t="s">
        <v>66</v>
      </c>
      <c r="L115" s="15">
        <f>IFERROR(AVERAGEIF(H115:H118,"&lt;&gt;"),"")</f>
        <v>5.75</v>
      </c>
      <c r="M115" s="15">
        <f>IFERROR(AVERAGEIF(I115:I118,"&lt;&gt;"),"")</f>
        <v>6.5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4</v>
      </c>
      <c r="F116" s="15">
        <v>5</v>
      </c>
      <c r="G116" s="10"/>
      <c r="H116" s="15">
        <f>IF(E116="","",IF(D116="Sì", 8-E116, E116))</f>
        <v>4</v>
      </c>
      <c r="I116" s="15">
        <f t="shared" ref="I116:I117" si="10">IF(F116="","",IF(D116="Sì", 8-F116, F116))</f>
        <v>5</v>
      </c>
      <c r="J116" s="10"/>
      <c r="K116" s="17" t="s">
        <v>69</v>
      </c>
      <c r="L116" s="15">
        <f>IF(L115="","",(L115-1)*100/6)</f>
        <v>79.166666666666671</v>
      </c>
      <c r="M116" s="15">
        <f>IF(M115="","",(M115-1)*100/6)</f>
        <v>91.666666666666671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1</v>
      </c>
      <c r="G117" s="10"/>
      <c r="H117" s="15">
        <f>IF(E117="","",IF(D117="Sì", 8-E117, E117))</f>
        <v>7</v>
      </c>
      <c r="I117" s="15">
        <f t="shared" si="10"/>
        <v>7</v>
      </c>
      <c r="J117" s="10"/>
      <c r="K117" s="17" t="s">
        <v>72</v>
      </c>
      <c r="L117" s="15">
        <f>IFERROR(SUM(H115:H118),"")</f>
        <v>23</v>
      </c>
      <c r="M117" s="15">
        <f>IFERROR(SUM(I115:I118),"")</f>
        <v>26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7</v>
      </c>
      <c r="G118" s="10"/>
      <c r="H118" s="15">
        <f>IF(E118="","",IF(D118="Sì", 8-E118, E118))</f>
        <v>5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61.111111111111114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6</v>
      </c>
      <c r="F128" s="15"/>
      <c r="G128" s="10"/>
      <c r="H128" s="15">
        <f>IF(E128="","",IF(D128="Sì", 8-E128, E128))</f>
        <v>6</v>
      </c>
      <c r="I128" s="15" t="str">
        <f t="shared" si="11"/>
        <v/>
      </c>
      <c r="J128" s="10"/>
      <c r="K128" s="17" t="s">
        <v>72</v>
      </c>
      <c r="L128" s="15">
        <f>IFERROR(SUM(H126:H128),"")</f>
        <v>14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5</v>
      </c>
      <c r="F136" s="15">
        <v>5</v>
      </c>
      <c r="G136" s="10"/>
      <c r="H136" s="15">
        <f>IF(E136="","",IF(D136="Sì", 8-E136, E136))</f>
        <v>5</v>
      </c>
      <c r="I136" s="15">
        <f>IF(F136="","",IF(D136="Sì", 8-F136, F136))</f>
        <v>5</v>
      </c>
      <c r="J136" s="10"/>
      <c r="K136" s="17" t="s">
        <v>66</v>
      </c>
      <c r="L136" s="15">
        <f>IFERROR(AVERAGEIF(H136:H137,"&lt;&gt;"),"")</f>
        <v>4.5</v>
      </c>
      <c r="M136" s="15">
        <f>IFERROR(AVERAGEIF(I136:I137,"&lt;&gt;"),"")</f>
        <v>4.5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4</v>
      </c>
      <c r="F137" s="15">
        <v>4</v>
      </c>
      <c r="G137" s="10"/>
      <c r="H137" s="15">
        <f>IF(E137="","",IF(D137="Sì", 8-E137, E137))</f>
        <v>4</v>
      </c>
      <c r="I137" s="15">
        <f>IF(F137="","",IF(D137="Sì", 8-F137, F137))</f>
        <v>4</v>
      </c>
      <c r="J137" s="10"/>
      <c r="K137" s="17" t="s">
        <v>69</v>
      </c>
      <c r="L137" s="15">
        <f>IF(L136="","",(L136-1)*100/6)</f>
        <v>58.333333333333336</v>
      </c>
      <c r="M137" s="15">
        <f>IF(M136="","",(M136-1)*100/6)</f>
        <v>58.333333333333336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9</v>
      </c>
      <c r="M138" s="15">
        <f>IFERROR(SUM(I136:I137),"")</f>
        <v>9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0.16666666666666666</v>
      </c>
      <c r="M145" s="15">
        <f>IFERROR(AVERAGEIF(I145:I150,"&lt;&gt;"),"")</f>
        <v>0.16666666666666666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5.5555555555555545</v>
      </c>
      <c r="M146" s="15">
        <f>IF(M145="","",M145*100/3)</f>
        <v>5.5555555555555545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1</v>
      </c>
      <c r="F147" s="15">
        <v>1</v>
      </c>
      <c r="G147" s="10"/>
      <c r="H147" s="15">
        <f>IF(E147="","",E147)</f>
        <v>1</v>
      </c>
      <c r="I147" s="15">
        <f t="shared" si="12"/>
        <v>1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>IF(E149="","",E149)</f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3</v>
      </c>
      <c r="F158" s="15">
        <v>4</v>
      </c>
      <c r="G158" s="10"/>
      <c r="H158" s="15">
        <f t="shared" ref="H158:H167" si="13">IF(E158="","",IF(D158="Sì", 5-E158, E158-1))</f>
        <v>2</v>
      </c>
      <c r="I158" s="15">
        <f>IF(F158="","",IF(D158="Sì", 5-F158, F158-1))</f>
        <v>3</v>
      </c>
      <c r="J158" s="10"/>
      <c r="K158" s="17" t="s">
        <v>186</v>
      </c>
      <c r="L158" s="15">
        <f>IFERROR(SUM(H158:H167),"")</f>
        <v>29</v>
      </c>
      <c r="M158" s="15">
        <f>IFERROR(SUM(I158:I167),"")</f>
        <v>36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72.5</v>
      </c>
      <c r="M159" s="15">
        <f>IF(M158="","", M158*2.5 )</f>
        <v>90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4</v>
      </c>
      <c r="F160" s="15">
        <v>4</v>
      </c>
      <c r="G160" s="10"/>
      <c r="H160" s="15">
        <f t="shared" si="13"/>
        <v>3</v>
      </c>
      <c r="I160" s="15">
        <f t="shared" si="14"/>
        <v>3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3</v>
      </c>
      <c r="F161" s="15">
        <v>1</v>
      </c>
      <c r="G161" s="10"/>
      <c r="H161" s="15">
        <f t="shared" si="13"/>
        <v>2</v>
      </c>
      <c r="I161" s="15">
        <f t="shared" si="14"/>
        <v>4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5</v>
      </c>
      <c r="G162" s="10"/>
      <c r="H162" s="15">
        <f t="shared" si="13"/>
        <v>3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2</v>
      </c>
      <c r="F163" s="15">
        <v>1</v>
      </c>
      <c r="G163" s="10"/>
      <c r="H163" s="15">
        <f t="shared" si="13"/>
        <v>3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3</v>
      </c>
      <c r="F164" s="15">
        <v>4</v>
      </c>
      <c r="G164" s="10"/>
      <c r="H164" s="15">
        <f t="shared" si="13"/>
        <v>2</v>
      </c>
      <c r="I164" s="15">
        <f t="shared" si="14"/>
        <v>3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2</v>
      </c>
      <c r="G165" s="10"/>
      <c r="H165" s="15">
        <f t="shared" si="13"/>
        <v>3</v>
      </c>
      <c r="I165" s="15">
        <f t="shared" si="14"/>
        <v>3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2</v>
      </c>
      <c r="F167" s="15">
        <v>1</v>
      </c>
      <c r="G167" s="10"/>
      <c r="H167" s="15">
        <f t="shared" si="13"/>
        <v>3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2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1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1D3E37C8-0BF6-4A33-88E6-E79DC93C494C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B3D6F36F-EC02-4249-A72F-9D7309547376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D4495C23-210E-492B-AE87-2770970021C3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2733524E-D846-4371-83BE-CC011199B775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D41F72A1-9085-4C2E-8B31-93BA7277AB7D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E6ADE9B7-DAAB-4996-BD60-96B3A6039C36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8FA26-5B03-4E01-8D30-25803AF4225B}">
  <dimension ref="B1:Q205"/>
  <sheetViews>
    <sheetView topLeftCell="A182" zoomScale="85" zoomScaleNormal="109" workbookViewId="0">
      <selection activeCell="F69" sqref="F69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386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23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242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243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243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243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4.5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5</v>
      </c>
      <c r="F20" s="5">
        <f t="shared" ref="F20:F29" si="0">IF(E20="","",IF(D20="Sì", 8-E20, E20))</f>
        <v>5</v>
      </c>
      <c r="G20" s="5"/>
      <c r="H20" s="3"/>
      <c r="I20" s="9" t="s">
        <v>32</v>
      </c>
      <c r="J20" s="5">
        <f>IF(J19="","",( J19-1 )*100/6)</f>
        <v>58.333333333333336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2</v>
      </c>
      <c r="F21" s="5">
        <f t="shared" si="0"/>
        <v>2</v>
      </c>
      <c r="G21" s="5"/>
      <c r="H21" s="3"/>
      <c r="I21" s="9" t="s">
        <v>35</v>
      </c>
      <c r="J21" s="5">
        <f>IFERROR(SUM(F20:F29),"")</f>
        <v>45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7</v>
      </c>
      <c r="F22" s="5">
        <f t="shared" si="0"/>
        <v>7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2</v>
      </c>
      <c r="F23" s="5">
        <f t="shared" si="0"/>
        <v>2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7</v>
      </c>
      <c r="F24" s="5">
        <f t="shared" si="0"/>
        <v>7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1</v>
      </c>
      <c r="F25" s="5">
        <f t="shared" si="0"/>
        <v>1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4</v>
      </c>
      <c r="F26" s="5">
        <f t="shared" si="0"/>
        <v>4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5</v>
      </c>
      <c r="F27" s="5">
        <f t="shared" si="0"/>
        <v>5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6</v>
      </c>
      <c r="F28" s="5">
        <f t="shared" si="0"/>
        <v>6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2</v>
      </c>
      <c r="F29" s="5">
        <f t="shared" si="0"/>
        <v>6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 t="s">
        <v>384</v>
      </c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60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5</v>
      </c>
      <c r="F38" s="15">
        <v>6</v>
      </c>
      <c r="G38" s="10"/>
      <c r="H38" s="15">
        <f t="shared" ref="H38:H47" si="1">IF(E38="","",IF(D38="Sì", 8-E38, E38))</f>
        <v>5</v>
      </c>
      <c r="I38" s="15">
        <f t="shared" ref="I38:I47" si="2">IF(F38="","",IF(D38="Sì", 8-F38, F38))</f>
        <v>6</v>
      </c>
      <c r="J38" s="10"/>
      <c r="K38" s="17" t="s">
        <v>66</v>
      </c>
      <c r="L38" s="15">
        <f>IFERROR(AVERAGEIF(H38:H47,"&lt;&gt;"),"")</f>
        <v>4.0999999999999996</v>
      </c>
      <c r="M38" s="15">
        <f>IFERROR(AVERAGEIF(I38:I47,"&lt;&gt;"),"")</f>
        <v>5.2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6</v>
      </c>
      <c r="F39" s="15">
        <v>7</v>
      </c>
      <c r="G39" s="10"/>
      <c r="H39" s="15">
        <f t="shared" si="1"/>
        <v>6</v>
      </c>
      <c r="I39" s="15">
        <f t="shared" si="2"/>
        <v>7</v>
      </c>
      <c r="J39" s="10"/>
      <c r="K39" s="17" t="s">
        <v>69</v>
      </c>
      <c r="L39" s="15">
        <f>IF(L38="","",(L38-1)*100/6)</f>
        <v>51.666666666666657</v>
      </c>
      <c r="M39" s="15">
        <f>IF(M38="","",(M38-1)*100/6)</f>
        <v>70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4</v>
      </c>
      <c r="F40" s="15">
        <v>4</v>
      </c>
      <c r="G40" s="10"/>
      <c r="H40" s="15">
        <f t="shared" si="1"/>
        <v>4</v>
      </c>
      <c r="I40" s="15">
        <f t="shared" si="2"/>
        <v>4</v>
      </c>
      <c r="J40" s="10"/>
      <c r="K40" s="17" t="s">
        <v>72</v>
      </c>
      <c r="L40" s="15">
        <f>IFERROR(SUM(H38:H47),"")</f>
        <v>41</v>
      </c>
      <c r="M40" s="15">
        <f>IFERROR(SUM(H38:H47),"")</f>
        <v>41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7</v>
      </c>
      <c r="F41" s="15">
        <v>7</v>
      </c>
      <c r="G41" s="10"/>
      <c r="H41" s="15">
        <f t="shared" si="1"/>
        <v>7</v>
      </c>
      <c r="I41" s="15">
        <f t="shared" si="2"/>
        <v>7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3</v>
      </c>
      <c r="F42" s="15">
        <v>6</v>
      </c>
      <c r="G42" s="10"/>
      <c r="H42" s="15">
        <f t="shared" si="1"/>
        <v>3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2</v>
      </c>
      <c r="F43" s="15">
        <v>6</v>
      </c>
      <c r="G43" s="10"/>
      <c r="H43" s="15">
        <f t="shared" si="1"/>
        <v>2</v>
      </c>
      <c r="I43" s="15">
        <f t="shared" si="2"/>
        <v>6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1</v>
      </c>
      <c r="F44" s="15">
        <v>1</v>
      </c>
      <c r="G44" s="10"/>
      <c r="H44" s="15">
        <f t="shared" si="1"/>
        <v>1</v>
      </c>
      <c r="I44" s="15">
        <f t="shared" si="2"/>
        <v>1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4</v>
      </c>
      <c r="F45" s="15">
        <v>2</v>
      </c>
      <c r="G45" s="10"/>
      <c r="H45" s="15">
        <f t="shared" si="1"/>
        <v>4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6</v>
      </c>
      <c r="F46" s="15">
        <v>6</v>
      </c>
      <c r="G46" s="10"/>
      <c r="H46" s="15">
        <f t="shared" si="1"/>
        <v>6</v>
      </c>
      <c r="I46" s="15">
        <f t="shared" si="2"/>
        <v>6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5.833333333333333</v>
      </c>
      <c r="M55" s="15">
        <f>IFERROR(AVERAGEIF(I55:I60,"&lt;&gt;"),"")</f>
        <v>5.4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6</v>
      </c>
      <c r="F56" s="15">
        <v>6</v>
      </c>
      <c r="G56" s="10"/>
      <c r="H56" s="15">
        <f t="shared" si="3"/>
        <v>6</v>
      </c>
      <c r="I56" s="15">
        <f t="shared" ref="I56:I60" si="4">IF(F56="","",IF(D56="Sì", 8-F56, F56))</f>
        <v>6</v>
      </c>
      <c r="J56" s="10"/>
      <c r="K56" s="17" t="s">
        <v>69</v>
      </c>
      <c r="L56" s="15">
        <f>IF(L55="","",(L55-1)*100/6)</f>
        <v>80.555555555555557</v>
      </c>
      <c r="M56" s="15">
        <f>IF(M55="","",(M55-1)*100/6)</f>
        <v>73.333333333333343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7</v>
      </c>
      <c r="F57" s="15">
        <v>5</v>
      </c>
      <c r="G57" s="10"/>
      <c r="H57" s="15">
        <f t="shared" si="3"/>
        <v>7</v>
      </c>
      <c r="I57" s="15">
        <f t="shared" si="4"/>
        <v>5</v>
      </c>
      <c r="J57" s="10"/>
      <c r="K57" s="17" t="s">
        <v>72</v>
      </c>
      <c r="L57" s="15">
        <f>IFERROR(SUM(H55:H60),"")</f>
        <v>35</v>
      </c>
      <c r="M57" s="15">
        <f>IFERROR(SUM(I55:I60),"")</f>
        <v>27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5</v>
      </c>
      <c r="F58" s="15">
        <v>5</v>
      </c>
      <c r="G58" s="10"/>
      <c r="H58" s="15">
        <f t="shared" si="3"/>
        <v>3</v>
      </c>
      <c r="I58" s="15">
        <f t="shared" si="4"/>
        <v>3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6</v>
      </c>
      <c r="F59" s="15">
        <v>6</v>
      </c>
      <c r="G59" s="10"/>
      <c r="H59" s="15">
        <f t="shared" si="3"/>
        <v>6</v>
      </c>
      <c r="I59" s="15">
        <f t="shared" si="4"/>
        <v>6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6</v>
      </c>
      <c r="F60" s="15"/>
      <c r="G60" s="10"/>
      <c r="H60" s="15">
        <f t="shared" si="3"/>
        <v>6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5</v>
      </c>
      <c r="F68" s="15">
        <v>7</v>
      </c>
      <c r="G68" s="10"/>
      <c r="H68" s="15">
        <f>IF(E68="","",IF(D68="Sì", 8-E68, E68))</f>
        <v>5</v>
      </c>
      <c r="I68" s="15">
        <f>IF(F68="","",IF(D68="Sì", 8-F68, F68))</f>
        <v>7</v>
      </c>
      <c r="J68" s="10"/>
      <c r="K68" s="17" t="s">
        <v>66</v>
      </c>
      <c r="L68" s="15">
        <f>IFERROR(AVERAGEIF(H68:H70,"&lt;&gt;"),"")</f>
        <v>5.666666666666667</v>
      </c>
      <c r="M68" s="15">
        <f>IFERROR(AVERAGEIF(I68:I70,"&lt;&gt;"),"")</f>
        <v>6.333333333333333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6</v>
      </c>
      <c r="F69" s="15">
        <v>6</v>
      </c>
      <c r="G69" s="10"/>
      <c r="H69" s="15">
        <f>IF(E69="","",IF(D69="Sì", 8-E69, E69))</f>
        <v>6</v>
      </c>
      <c r="I69" s="15">
        <f t="shared" ref="I69:I70" si="5">IF(F69="","",IF(D69="Sì", 8-F69, F69))</f>
        <v>6</v>
      </c>
      <c r="J69" s="10"/>
      <c r="K69" s="17" t="s">
        <v>69</v>
      </c>
      <c r="L69" s="15">
        <f>IF(L68="","",(L68-1)*100/6)</f>
        <v>77.777777777777786</v>
      </c>
      <c r="M69" s="15">
        <f>IF(M68="","",(M68-1)*100/6)</f>
        <v>88.888888888888872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2</v>
      </c>
      <c r="F70" s="15">
        <v>2</v>
      </c>
      <c r="G70" s="10"/>
      <c r="H70" s="15">
        <f>IF(E70="","",IF(D70="Sì", 8-E70, E70))</f>
        <v>6</v>
      </c>
      <c r="I70" s="15">
        <f t="shared" si="5"/>
        <v>6</v>
      </c>
      <c r="J70" s="10"/>
      <c r="K70" s="17" t="s">
        <v>72</v>
      </c>
      <c r="L70" s="15">
        <f>IFERROR(SUM(H68:H70),"")</f>
        <v>17</v>
      </c>
      <c r="M70" s="15">
        <f>IFERROR(SUM(I68:I70),"")</f>
        <v>19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6</v>
      </c>
      <c r="F78" s="15">
        <v>7</v>
      </c>
      <c r="G78" s="10"/>
      <c r="H78" s="15">
        <f t="shared" ref="H78:H83" si="6">IF(E78="","",IF(D78="Sì", 8-E78, E78))</f>
        <v>6</v>
      </c>
      <c r="I78" s="15">
        <f>IF(F78="","",IF(D78="Sì", 8-F78, F78))</f>
        <v>7</v>
      </c>
      <c r="J78" s="10"/>
      <c r="K78" s="17" t="s">
        <v>66</v>
      </c>
      <c r="L78" s="15">
        <f>IFERROR(AVERAGEIF(H78:H83,"&lt;&gt;"),"")</f>
        <v>5.666666666666667</v>
      </c>
      <c r="M78" s="15">
        <f>IFERROR(AVERAGEIF(I78:I83,"&lt;&gt;"),"")</f>
        <v>6.333333333333333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6</v>
      </c>
      <c r="F79" s="15">
        <v>7</v>
      </c>
      <c r="G79" s="10"/>
      <c r="H79" s="15">
        <f t="shared" si="6"/>
        <v>6</v>
      </c>
      <c r="I79" s="15">
        <f t="shared" ref="I79:I83" si="7">IF(F79="","",IF(D79="Sì", 8-F79, F79))</f>
        <v>7</v>
      </c>
      <c r="J79" s="10"/>
      <c r="K79" s="17" t="s">
        <v>69</v>
      </c>
      <c r="L79" s="15">
        <f>IF(L78="","",(L78-1)*100/6)</f>
        <v>77.777777777777786</v>
      </c>
      <c r="M79" s="15">
        <f>IF(M78="","",(M78-1)*100/6)</f>
        <v>88.888888888888872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6</v>
      </c>
      <c r="F80" s="15">
        <v>7</v>
      </c>
      <c r="G80" s="10"/>
      <c r="H80" s="15">
        <f t="shared" si="6"/>
        <v>6</v>
      </c>
      <c r="I80" s="15">
        <f t="shared" si="7"/>
        <v>7</v>
      </c>
      <c r="J80" s="10"/>
      <c r="K80" s="17" t="s">
        <v>72</v>
      </c>
      <c r="L80" s="15">
        <f>IFERROR(SUM(H78:H83),"")</f>
        <v>34</v>
      </c>
      <c r="M80" s="15">
        <f>IFERROR(SUM(I78:I83),"")</f>
        <v>38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5</v>
      </c>
      <c r="F81" s="15">
        <v>6</v>
      </c>
      <c r="G81" s="10"/>
      <c r="H81" s="15">
        <f t="shared" si="6"/>
        <v>5</v>
      </c>
      <c r="I81" s="15">
        <f t="shared" si="7"/>
        <v>6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4</v>
      </c>
      <c r="F82" s="15">
        <v>4</v>
      </c>
      <c r="G82" s="10"/>
      <c r="H82" s="15">
        <f t="shared" si="6"/>
        <v>4</v>
      </c>
      <c r="I82" s="15">
        <f t="shared" si="7"/>
        <v>4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1</v>
      </c>
      <c r="F83" s="15">
        <v>1</v>
      </c>
      <c r="G83" s="10"/>
      <c r="H83" s="15">
        <f t="shared" si="6"/>
        <v>7</v>
      </c>
      <c r="I83" s="15">
        <f t="shared" si="7"/>
        <v>7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7</v>
      </c>
      <c r="F91" s="15">
        <v>5</v>
      </c>
      <c r="G91" s="10"/>
      <c r="H91" s="15">
        <f>IF(E91="","",IF(D91="Sì", 8-E91, E91))</f>
        <v>7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7</v>
      </c>
      <c r="M91" s="15">
        <f>IFERROR(AVERAGEIF(I91:I95,"&lt;&gt;"),"")</f>
        <v>5.6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1</v>
      </c>
      <c r="F92" s="15">
        <v>3</v>
      </c>
      <c r="G92" s="10"/>
      <c r="H92" s="15">
        <f>IF(E92="","",IF(D92="Sì", 8-E92, E92))</f>
        <v>7</v>
      </c>
      <c r="I92" s="15">
        <f t="shared" ref="I92:I95" si="8">IF(F92="","",IF(D92="Sì", 8-F92, F92))</f>
        <v>5</v>
      </c>
      <c r="J92" s="10"/>
      <c r="K92" s="17" t="s">
        <v>69</v>
      </c>
      <c r="L92" s="15">
        <f>IF(L91="","",(L91-1)*100/6)</f>
        <v>100</v>
      </c>
      <c r="M92" s="15">
        <f>IF(M91="","",(M91-1)*100/6)</f>
        <v>76.666666666666657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1</v>
      </c>
      <c r="F93" s="15">
        <v>1</v>
      </c>
      <c r="G93" s="10"/>
      <c r="H93" s="15">
        <f>IF(E93="","",IF(D93="Sì", 8-E93, E93))</f>
        <v>7</v>
      </c>
      <c r="I93" s="15">
        <f t="shared" si="8"/>
        <v>7</v>
      </c>
      <c r="J93" s="10"/>
      <c r="K93" s="17" t="s">
        <v>72</v>
      </c>
      <c r="L93" s="15">
        <f>IFERROR(SUM(H91:H95),"")</f>
        <v>35</v>
      </c>
      <c r="M93" s="15">
        <f>IFERROR(SUM(I91:I95),"")</f>
        <v>28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7</v>
      </c>
      <c r="F94" s="15">
        <v>4</v>
      </c>
      <c r="G94" s="10"/>
      <c r="H94" s="15">
        <f>IF(E94="","",IF(D94="Sì", 8-E94, E94))</f>
        <v>7</v>
      </c>
      <c r="I94" s="15">
        <f t="shared" si="8"/>
        <v>4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6</v>
      </c>
      <c r="F103" s="15"/>
      <c r="G103" s="10"/>
      <c r="H103" s="15">
        <f>IF(E103="","",IF(D103="Sì", 8-E103, E103))</f>
        <v>6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4.8</v>
      </c>
      <c r="M103" s="15">
        <f>IFERROR(AVERAGEIF(I103:I107,"&lt;&gt;"),"")</f>
        <v>3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63.333333333333336</v>
      </c>
      <c r="M104" s="15">
        <f>IF(M103="","",(M103-1)*100/6)</f>
        <v>33.333333333333336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1</v>
      </c>
      <c r="F105" s="15"/>
      <c r="G105" s="10"/>
      <c r="H105" s="15">
        <f>IF(E105="","",IF(D105="Sì", 8-E105, E105))</f>
        <v>7</v>
      </c>
      <c r="I105" s="15" t="str">
        <f t="shared" si="9"/>
        <v/>
      </c>
      <c r="J105" s="10"/>
      <c r="K105" s="17" t="s">
        <v>72</v>
      </c>
      <c r="L105" s="15">
        <f>IFERROR(SUM(H103:H107),"")</f>
        <v>24</v>
      </c>
      <c r="M105" s="15">
        <f>IFERROR(SUM(I103:I107),"")</f>
        <v>3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2</v>
      </c>
      <c r="F106" s="15"/>
      <c r="G106" s="10"/>
      <c r="H106" s="15">
        <f>IF(E106="","",IF(D106="Sì", 8-E106, E106))</f>
        <v>2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4</v>
      </c>
      <c r="F107" s="15">
        <v>3</v>
      </c>
      <c r="G107" s="10"/>
      <c r="H107" s="15">
        <f>IF(E107="","",IF(D107="Sì", 8-E107, E107))</f>
        <v>4</v>
      </c>
      <c r="I107" s="15">
        <f>IF(F107="","",IF(D107="Sì", 8-F107, F107))</f>
        <v>3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3</v>
      </c>
      <c r="F115" s="15">
        <v>7</v>
      </c>
      <c r="G115" s="10"/>
      <c r="H115" s="15">
        <f>IF(E115="","",IF(D115="Sì", 8-E115, E115))</f>
        <v>5</v>
      </c>
      <c r="I115" s="15">
        <f>IF(F115="","",IF(D115="Sì", 8-F115, F115))</f>
        <v>1</v>
      </c>
      <c r="J115" s="10"/>
      <c r="K115" s="17" t="s">
        <v>66</v>
      </c>
      <c r="L115" s="15">
        <f>IFERROR(AVERAGEIF(H115:H118,"&lt;&gt;"),"")</f>
        <v>6.25</v>
      </c>
      <c r="M115" s="15">
        <f>IFERROR(AVERAGEIF(I115:I118,"&lt;&gt;"),"")</f>
        <v>2.5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1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1</v>
      </c>
      <c r="J116" s="10"/>
      <c r="K116" s="17" t="s">
        <v>69</v>
      </c>
      <c r="L116" s="15">
        <f>IF(L115="","",(L115-1)*100/6)</f>
        <v>87.5</v>
      </c>
      <c r="M116" s="15">
        <f>IF(M115="","",(M115-1)*100/6)</f>
        <v>25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1</v>
      </c>
      <c r="F117" s="15">
        <v>7</v>
      </c>
      <c r="G117" s="10"/>
      <c r="H117" s="15">
        <f>IF(E117="","",IF(D117="Sì", 8-E117, E117))</f>
        <v>7</v>
      </c>
      <c r="I117" s="15">
        <f t="shared" si="10"/>
        <v>1</v>
      </c>
      <c r="J117" s="10"/>
      <c r="K117" s="17" t="s">
        <v>72</v>
      </c>
      <c r="L117" s="15">
        <f>IFERROR(SUM(H115:H118),"")</f>
        <v>25</v>
      </c>
      <c r="M117" s="15">
        <f>IFERROR(SUM(I115:I118),"")</f>
        <v>10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7</v>
      </c>
      <c r="F118" s="15">
        <v>7</v>
      </c>
      <c r="G118" s="10"/>
      <c r="H118" s="15">
        <f>IF(E118="","",IF(D118="Sì", 8-E118, E118))</f>
        <v>7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1</v>
      </c>
      <c r="F126" s="15"/>
      <c r="G126" s="10"/>
      <c r="H126" s="15">
        <f>IF(E126="","",IF(D126="Sì", 8-E126, E126))</f>
        <v>1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4.333333333333333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55.55555555555555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5</v>
      </c>
      <c r="F128" s="15"/>
      <c r="G128" s="10"/>
      <c r="H128" s="15">
        <f>IF(E128="","",IF(D128="Sì", 8-E128, E128))</f>
        <v>5</v>
      </c>
      <c r="I128" s="15" t="str">
        <f t="shared" si="11"/>
        <v/>
      </c>
      <c r="J128" s="10"/>
      <c r="K128" s="17" t="s">
        <v>72</v>
      </c>
      <c r="L128" s="15">
        <f>IFERROR(SUM(H126:H128),"")</f>
        <v>13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6</v>
      </c>
      <c r="F136" s="15">
        <v>7</v>
      </c>
      <c r="G136" s="10"/>
      <c r="H136" s="15">
        <f>IF(E136="","",IF(D136="Sì", 8-E136, E136))</f>
        <v>6</v>
      </c>
      <c r="I136" s="15">
        <f>IF(F136="","",IF(D136="Sì", 8-F136, F136))</f>
        <v>7</v>
      </c>
      <c r="J136" s="10"/>
      <c r="K136" s="17" t="s">
        <v>66</v>
      </c>
      <c r="L136" s="15">
        <f>IFERROR(AVERAGEIF(H136:H137,"&lt;&gt;"),"")</f>
        <v>6.5</v>
      </c>
      <c r="M136" s="15">
        <f>IFERROR(AVERAGEIF(I136:I137,"&lt;&gt;"),"")</f>
        <v>7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7</v>
      </c>
      <c r="F137" s="15">
        <v>7</v>
      </c>
      <c r="G137" s="10"/>
      <c r="H137" s="15">
        <f>IF(E137="","",IF(D137="Sì", 8-E137, E137))</f>
        <v>7</v>
      </c>
      <c r="I137" s="15">
        <f>IF(F137="","",IF(D137="Sì", 8-F137, F137))</f>
        <v>7</v>
      </c>
      <c r="J137" s="10"/>
      <c r="K137" s="17" t="s">
        <v>69</v>
      </c>
      <c r="L137" s="15">
        <f>IF(L136="","",(L136-1)*100/6)</f>
        <v>91.666666666666671</v>
      </c>
      <c r="M137" s="15">
        <f>IF(M136="","",(M136-1)*100/6)</f>
        <v>100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13</v>
      </c>
      <c r="M138" s="15">
        <f>IFERROR(SUM(I136:I137),"")</f>
        <v>14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>IF(E145="","",E145)</f>
        <v>0</v>
      </c>
      <c r="I145" s="15">
        <f>IF(F145="","",F145)</f>
        <v>0</v>
      </c>
      <c r="J145" s="10"/>
      <c r="K145" s="17" t="s">
        <v>66</v>
      </c>
      <c r="L145" s="15">
        <f>IFERROR(AVERAGEIF(H145:H150,"&lt;&gt;"),"")</f>
        <v>0.5</v>
      </c>
      <c r="M145" s="15">
        <f>IFERROR(AVERAGEIF(I145:I150,"&lt;&gt;"),"")</f>
        <v>0.5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>IF(E146="","",E146)</f>
        <v>0</v>
      </c>
      <c r="I146" s="15">
        <f t="shared" ref="I146:I150" si="12">IF(F146="","",F146)</f>
        <v>0</v>
      </c>
      <c r="J146" s="10"/>
      <c r="K146" s="17" t="s">
        <v>173</v>
      </c>
      <c r="L146" s="15">
        <f>IF(L145="","",L145*100/3)</f>
        <v>16.666666666666668</v>
      </c>
      <c r="M146" s="15">
        <f>IF(M145="","",M145*100/3)</f>
        <v>16.666666666666668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2</v>
      </c>
      <c r="F147" s="15">
        <v>2</v>
      </c>
      <c r="G147" s="10"/>
      <c r="H147" s="15">
        <f>IF(E147="","",E147)</f>
        <v>2</v>
      </c>
      <c r="I147" s="15">
        <f t="shared" si="12"/>
        <v>2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>IF(E148="","",E148)</f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1</v>
      </c>
      <c r="F149" s="15">
        <v>1</v>
      </c>
      <c r="G149" s="10"/>
      <c r="H149" s="15">
        <f>IF(E149="","",E149)</f>
        <v>1</v>
      </c>
      <c r="I149" s="15">
        <f t="shared" si="12"/>
        <v>1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>IF(E150="","",E150)</f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5</v>
      </c>
      <c r="F158" s="15">
        <v>5</v>
      </c>
      <c r="G158" s="10"/>
      <c r="H158" s="15">
        <f t="shared" ref="H158:H167" si="13">IF(E158="","",IF(D158="Sì", 5-E158, E158-1))</f>
        <v>4</v>
      </c>
      <c r="I158" s="15">
        <f>IF(F158="","",IF(D158="Sì", 5-F158, F158-1))</f>
        <v>4</v>
      </c>
      <c r="J158" s="10"/>
      <c r="K158" s="17" t="s">
        <v>186</v>
      </c>
      <c r="L158" s="15">
        <f>IFERROR(SUM(H158:H167),"")</f>
        <v>33</v>
      </c>
      <c r="M158" s="15">
        <f>IFERROR(SUM(I158:I167),"")</f>
        <v>31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1</v>
      </c>
      <c r="F159" s="15">
        <v>1</v>
      </c>
      <c r="G159" s="10"/>
      <c r="H159" s="15">
        <f t="shared" si="13"/>
        <v>4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82.5</v>
      </c>
      <c r="M159" s="15">
        <f>IF(M158="","", M158*2.5 )</f>
        <v>77.5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5</v>
      </c>
      <c r="F161" s="15">
        <v>5</v>
      </c>
      <c r="G161" s="10"/>
      <c r="H161" s="15">
        <f t="shared" si="13"/>
        <v>0</v>
      </c>
      <c r="I161" s="15">
        <f t="shared" si="14"/>
        <v>0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5</v>
      </c>
      <c r="F162" s="15">
        <v>5</v>
      </c>
      <c r="G162" s="10"/>
      <c r="H162" s="15">
        <f t="shared" si="13"/>
        <v>4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5</v>
      </c>
      <c r="F164" s="15">
        <v>1</v>
      </c>
      <c r="G164" s="10"/>
      <c r="H164" s="15">
        <f t="shared" si="13"/>
        <v>4</v>
      </c>
      <c r="I164" s="15">
        <f t="shared" si="14"/>
        <v>0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1</v>
      </c>
      <c r="F165" s="15">
        <v>1</v>
      </c>
      <c r="G165" s="10"/>
      <c r="H165" s="15">
        <f t="shared" si="13"/>
        <v>4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2</v>
      </c>
      <c r="F166" s="15">
        <v>4</v>
      </c>
      <c r="G166" s="10"/>
      <c r="H166" s="15">
        <f t="shared" si="13"/>
        <v>1</v>
      </c>
      <c r="I166" s="15">
        <f t="shared" si="14"/>
        <v>3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4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1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0.25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1</v>
      </c>
      <c r="F183" s="25" t="s">
        <v>391</v>
      </c>
    </row>
    <row r="184" spans="2:6" x14ac:dyDescent="0.3">
      <c r="B184" s="25" t="s">
        <v>221</v>
      </c>
      <c r="C184" s="27" t="s">
        <v>222</v>
      </c>
      <c r="D184" s="22"/>
      <c r="E184" s="25">
        <v>1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1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392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14E0B3FF-4DB0-488D-B0A7-AD5162C39E4D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673F721D-C171-4F93-848D-8F7C62C1100C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0A1E325F-3774-4AAA-8A90-1DAC4D67CFD0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D2D9E09B-34D3-4AD4-AE10-A2C7AE14AC34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62A77F5E-782F-4FC6-B358-8D4792B2115C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4D80A965-77D1-43D8-93F3-1815E8535E8F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2C79-406D-423A-B00F-42D06D5562CB}">
  <dimension ref="B1:Q205"/>
  <sheetViews>
    <sheetView tabSelected="1" topLeftCell="A185" zoomScale="105" zoomScaleNormal="70" workbookViewId="0">
      <selection activeCell="J19" sqref="J19"/>
    </sheetView>
  </sheetViews>
  <sheetFormatPr defaultRowHeight="14.4" x14ac:dyDescent="0.3"/>
  <cols>
    <col min="1" max="1" width="8.88671875" style="2"/>
    <col min="2" max="2" width="36.88671875" style="2" bestFit="1" customWidth="1"/>
    <col min="3" max="3" width="46.21875" style="2" customWidth="1"/>
    <col min="4" max="4" width="5.77734375" style="2" customWidth="1"/>
    <col min="5" max="5" width="22.21875" style="2" bestFit="1" customWidth="1"/>
    <col min="6" max="6" width="22.5546875" style="2" bestFit="1" customWidth="1"/>
    <col min="7" max="7" width="6.77734375" style="2" customWidth="1"/>
    <col min="8" max="8" width="23" style="2" customWidth="1"/>
    <col min="9" max="9" width="23.5546875" style="2" bestFit="1" customWidth="1"/>
    <col min="10" max="10" width="7.44140625" style="2" customWidth="1"/>
    <col min="11" max="11" width="25" style="2" bestFit="1" customWidth="1"/>
    <col min="12" max="14" width="8.88671875" style="2"/>
    <col min="15" max="15" width="21.21875" style="2" customWidth="1"/>
    <col min="16" max="16" width="47.33203125" style="2" customWidth="1"/>
    <col min="17" max="17" width="8.77734375" style="2" customWidth="1"/>
    <col min="18" max="16384" width="8.88671875" style="2"/>
  </cols>
  <sheetData>
    <row r="1" spans="2:10" ht="18" x14ac:dyDescent="0.3">
      <c r="B1" s="157" t="s">
        <v>0</v>
      </c>
      <c r="C1" s="157"/>
      <c r="D1" s="157"/>
      <c r="E1" s="157"/>
      <c r="F1" s="157"/>
      <c r="G1" s="157"/>
    </row>
    <row r="2" spans="2:10" ht="36" customHeight="1" x14ac:dyDescent="0.3">
      <c r="B2" s="158" t="s">
        <v>1</v>
      </c>
      <c r="C2" s="158"/>
      <c r="D2" s="3"/>
      <c r="E2" s="3"/>
      <c r="F2" s="3"/>
      <c r="G2" s="3"/>
      <c r="H2" s="3"/>
      <c r="I2" s="3"/>
      <c r="J2" s="3"/>
    </row>
    <row r="3" spans="2:10" x14ac:dyDescent="0.3">
      <c r="B3" s="4" t="s">
        <v>393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5" t="s">
        <v>3</v>
      </c>
      <c r="C4" s="6" t="s">
        <v>4</v>
      </c>
      <c r="D4" s="5">
        <v>24</v>
      </c>
      <c r="E4" s="3"/>
      <c r="F4" s="3"/>
      <c r="G4" s="3"/>
      <c r="H4" s="3"/>
      <c r="I4" s="3"/>
      <c r="J4" s="3"/>
    </row>
    <row r="5" spans="2:10" x14ac:dyDescent="0.3">
      <c r="B5" s="5" t="s">
        <v>5</v>
      </c>
      <c r="C5" s="6" t="s">
        <v>6</v>
      </c>
      <c r="D5" s="5" t="s">
        <v>7</v>
      </c>
      <c r="E5" s="3"/>
      <c r="F5" s="3"/>
      <c r="G5" s="3"/>
      <c r="H5" s="3"/>
      <c r="I5" s="3"/>
      <c r="J5" s="3"/>
    </row>
    <row r="6" spans="2:10" x14ac:dyDescent="0.3">
      <c r="B6" s="3"/>
      <c r="C6" s="4"/>
      <c r="D6" s="3"/>
      <c r="E6" s="3"/>
      <c r="F6" s="3"/>
      <c r="G6" s="3"/>
      <c r="H6" s="3"/>
      <c r="I6" s="3"/>
      <c r="J6" s="3"/>
    </row>
    <row r="7" spans="2:10" x14ac:dyDescent="0.3">
      <c r="B7" s="7" t="s">
        <v>8</v>
      </c>
      <c r="C7" s="8" t="s">
        <v>9</v>
      </c>
      <c r="D7" s="8"/>
      <c r="E7" s="8"/>
      <c r="F7" s="8"/>
      <c r="G7" s="8"/>
      <c r="H7" s="3"/>
      <c r="I7" s="3"/>
      <c r="J7" s="3"/>
    </row>
    <row r="8" spans="2:10" x14ac:dyDescent="0.3">
      <c r="B8" s="3"/>
      <c r="C8" s="3"/>
      <c r="D8" s="3"/>
      <c r="E8" s="3"/>
      <c r="F8" s="3"/>
      <c r="G8" s="3"/>
      <c r="H8" s="3"/>
      <c r="I8" s="3"/>
      <c r="J8" s="3"/>
    </row>
    <row r="9" spans="2:10" x14ac:dyDescent="0.3">
      <c r="B9" s="5" t="s">
        <v>10</v>
      </c>
      <c r="C9" s="6" t="s">
        <v>11</v>
      </c>
      <c r="D9" s="5" t="s">
        <v>60</v>
      </c>
      <c r="E9" s="3"/>
      <c r="F9" s="3"/>
      <c r="G9" s="3"/>
      <c r="H9" s="3"/>
      <c r="I9" s="3"/>
      <c r="J9" s="3"/>
    </row>
    <row r="10" spans="2:10" x14ac:dyDescent="0.3">
      <c r="B10" s="5" t="s">
        <v>12</v>
      </c>
      <c r="C10" s="6" t="s">
        <v>13</v>
      </c>
      <c r="D10" s="5" t="s">
        <v>60</v>
      </c>
      <c r="E10" s="3"/>
      <c r="F10" s="3"/>
      <c r="G10" s="3"/>
      <c r="H10" s="3"/>
      <c r="I10" s="3"/>
      <c r="J10" s="3"/>
    </row>
    <row r="11" spans="2:10" ht="28.8" x14ac:dyDescent="0.3">
      <c r="B11" s="5" t="s">
        <v>14</v>
      </c>
      <c r="C11" s="6" t="s">
        <v>15</v>
      </c>
      <c r="D11" s="5" t="s">
        <v>60</v>
      </c>
      <c r="E11" s="3"/>
      <c r="F11" s="3"/>
      <c r="G11" s="3"/>
      <c r="H11" s="3"/>
      <c r="I11" s="3"/>
      <c r="J11" s="3"/>
    </row>
    <row r="12" spans="2:10" x14ac:dyDescent="0.3">
      <c r="B12" s="5" t="s">
        <v>16</v>
      </c>
      <c r="C12" s="6" t="s">
        <v>17</v>
      </c>
      <c r="D12" s="5" t="s">
        <v>60</v>
      </c>
      <c r="E12" s="3"/>
      <c r="F12" s="3"/>
      <c r="G12" s="3"/>
      <c r="H12" s="3"/>
      <c r="I12" s="3"/>
      <c r="J12" s="3"/>
    </row>
    <row r="13" spans="2:10" x14ac:dyDescent="0.3">
      <c r="B13" s="3"/>
      <c r="C13" s="3"/>
      <c r="D13" s="3"/>
      <c r="E13" s="3"/>
      <c r="F13" s="3"/>
      <c r="G13" s="3"/>
      <c r="H13" s="3"/>
      <c r="I13" s="3"/>
      <c r="J13" s="3"/>
    </row>
    <row r="14" spans="2:10" x14ac:dyDescent="0.3">
      <c r="B14" s="3"/>
      <c r="C14" s="3"/>
      <c r="D14" s="3"/>
      <c r="E14" s="3"/>
      <c r="F14" s="3"/>
      <c r="G14" s="3"/>
      <c r="H14" s="3"/>
      <c r="I14" s="3"/>
      <c r="J14" s="3"/>
    </row>
    <row r="15" spans="2:10" ht="18" x14ac:dyDescent="0.3">
      <c r="B15" s="159" t="s">
        <v>18</v>
      </c>
      <c r="C15" s="159"/>
      <c r="D15" s="159"/>
      <c r="E15" s="159"/>
      <c r="F15" s="159"/>
      <c r="G15" s="159"/>
      <c r="H15" s="3"/>
      <c r="I15" s="3"/>
      <c r="J15" s="3"/>
    </row>
    <row r="16" spans="2:10" x14ac:dyDescent="0.3">
      <c r="B16" s="3"/>
      <c r="C16" s="3"/>
      <c r="D16" s="3"/>
      <c r="E16" s="3"/>
      <c r="F16" s="3"/>
      <c r="G16" s="3"/>
      <c r="H16" s="3"/>
      <c r="I16" s="3"/>
      <c r="J16" s="3"/>
    </row>
    <row r="17" spans="2:10" x14ac:dyDescent="0.3">
      <c r="B17" s="7" t="s">
        <v>19</v>
      </c>
      <c r="C17" s="31" t="s">
        <v>20</v>
      </c>
      <c r="D17" s="31"/>
      <c r="E17" s="31"/>
      <c r="F17" s="31"/>
      <c r="G17" s="31"/>
      <c r="H17" s="3"/>
      <c r="I17" s="3"/>
      <c r="J17" s="3"/>
    </row>
    <row r="18" spans="2:10" x14ac:dyDescent="0.3">
      <c r="B18" s="3"/>
      <c r="C18" s="3"/>
      <c r="D18" s="3"/>
      <c r="E18" s="3"/>
      <c r="F18" s="3"/>
      <c r="G18" s="3"/>
      <c r="H18" s="3"/>
      <c r="I18" s="7" t="s">
        <v>21</v>
      </c>
      <c r="J18" s="3"/>
    </row>
    <row r="19" spans="2:10" x14ac:dyDescent="0.3">
      <c r="B19" s="9" t="s">
        <v>22</v>
      </c>
      <c r="C19" s="9" t="s">
        <v>23</v>
      </c>
      <c r="D19" s="9" t="s">
        <v>24</v>
      </c>
      <c r="E19" s="9" t="s">
        <v>25</v>
      </c>
      <c r="F19" s="9" t="s">
        <v>26</v>
      </c>
      <c r="G19" s="9" t="s">
        <v>27</v>
      </c>
      <c r="H19" s="3"/>
      <c r="I19" s="9" t="s">
        <v>28</v>
      </c>
      <c r="J19" s="5">
        <f>IFERROR(AVERAGEIF(F20:F29,"&lt;&gt;"),"")</f>
        <v>3.6</v>
      </c>
    </row>
    <row r="20" spans="2:10" ht="28.8" x14ac:dyDescent="0.3">
      <c r="B20" s="5" t="s">
        <v>29</v>
      </c>
      <c r="C20" s="6" t="s">
        <v>30</v>
      </c>
      <c r="D20" s="5" t="s">
        <v>31</v>
      </c>
      <c r="E20" s="5">
        <v>3</v>
      </c>
      <c r="F20" s="5">
        <f t="shared" ref="F20:F29" si="0">IF(E20="","",IF(D20="Sì", 8-E20, E20))</f>
        <v>3</v>
      </c>
      <c r="G20" s="5"/>
      <c r="H20" s="3"/>
      <c r="I20" s="9" t="s">
        <v>32</v>
      </c>
      <c r="J20" s="5">
        <f>IF(J19="","",( J19-1 )*100/6)</f>
        <v>43.333333333333336</v>
      </c>
    </row>
    <row r="21" spans="2:10" ht="28.8" x14ac:dyDescent="0.3">
      <c r="B21" s="5" t="s">
        <v>33</v>
      </c>
      <c r="C21" s="6" t="s">
        <v>34</v>
      </c>
      <c r="D21" s="5" t="s">
        <v>31</v>
      </c>
      <c r="E21" s="5">
        <v>5</v>
      </c>
      <c r="F21" s="5">
        <f t="shared" si="0"/>
        <v>5</v>
      </c>
      <c r="G21" s="5"/>
      <c r="H21" s="3"/>
      <c r="I21" s="9" t="s">
        <v>35</v>
      </c>
      <c r="J21" s="5">
        <f>IFERROR(SUM(F20:F29),"")</f>
        <v>36</v>
      </c>
    </row>
    <row r="22" spans="2:10" ht="28.8" x14ac:dyDescent="0.3">
      <c r="B22" s="5" t="s">
        <v>36</v>
      </c>
      <c r="C22" s="6" t="s">
        <v>37</v>
      </c>
      <c r="D22" s="5" t="s">
        <v>31</v>
      </c>
      <c r="E22" s="5">
        <v>4</v>
      </c>
      <c r="F22" s="5">
        <f t="shared" si="0"/>
        <v>4</v>
      </c>
      <c r="G22" s="5"/>
      <c r="H22" s="3"/>
      <c r="I22" s="3"/>
      <c r="J22" s="3"/>
    </row>
    <row r="23" spans="2:10" ht="28.8" x14ac:dyDescent="0.3">
      <c r="B23" s="5" t="s">
        <v>38</v>
      </c>
      <c r="C23" s="6" t="s">
        <v>39</v>
      </c>
      <c r="D23" s="5" t="s">
        <v>31</v>
      </c>
      <c r="E23" s="5">
        <v>3</v>
      </c>
      <c r="F23" s="5">
        <f t="shared" si="0"/>
        <v>3</v>
      </c>
      <c r="G23" s="5"/>
      <c r="H23" s="3"/>
      <c r="I23" s="3"/>
      <c r="J23" s="3"/>
    </row>
    <row r="24" spans="2:10" ht="28.8" x14ac:dyDescent="0.3">
      <c r="B24" s="5" t="s">
        <v>40</v>
      </c>
      <c r="C24" s="6" t="s">
        <v>41</v>
      </c>
      <c r="D24" s="5" t="s">
        <v>31</v>
      </c>
      <c r="E24" s="5">
        <v>4</v>
      </c>
      <c r="F24" s="5">
        <f t="shared" si="0"/>
        <v>4</v>
      </c>
      <c r="G24" s="5"/>
      <c r="H24" s="3"/>
      <c r="I24" s="3"/>
      <c r="J24" s="3"/>
    </row>
    <row r="25" spans="2:10" ht="28.8" x14ac:dyDescent="0.3">
      <c r="B25" s="5" t="s">
        <v>42</v>
      </c>
      <c r="C25" s="6" t="s">
        <v>43</v>
      </c>
      <c r="D25" s="5" t="s">
        <v>31</v>
      </c>
      <c r="E25" s="5">
        <v>2</v>
      </c>
      <c r="F25" s="5">
        <f t="shared" si="0"/>
        <v>2</v>
      </c>
      <c r="G25" s="5"/>
      <c r="H25" s="3"/>
      <c r="I25" s="3"/>
      <c r="J25" s="3"/>
    </row>
    <row r="26" spans="2:10" x14ac:dyDescent="0.3">
      <c r="B26" s="5" t="s">
        <v>44</v>
      </c>
      <c r="C26" s="6" t="s">
        <v>45</v>
      </c>
      <c r="D26" s="5" t="s">
        <v>31</v>
      </c>
      <c r="E26" s="5">
        <v>3</v>
      </c>
      <c r="F26" s="5">
        <f t="shared" si="0"/>
        <v>3</v>
      </c>
      <c r="G26" s="5"/>
      <c r="H26" s="3"/>
      <c r="I26" s="3"/>
      <c r="J26" s="3"/>
    </row>
    <row r="27" spans="2:10" ht="28.8" x14ac:dyDescent="0.3">
      <c r="B27" s="5" t="s">
        <v>46</v>
      </c>
      <c r="C27" s="6" t="s">
        <v>47</v>
      </c>
      <c r="D27" s="5" t="s">
        <v>31</v>
      </c>
      <c r="E27" s="5">
        <v>5</v>
      </c>
      <c r="F27" s="5">
        <f t="shared" si="0"/>
        <v>5</v>
      </c>
      <c r="G27" s="5"/>
      <c r="H27" s="3"/>
      <c r="I27" s="3"/>
      <c r="J27" s="3"/>
    </row>
    <row r="28" spans="2:10" x14ac:dyDescent="0.3">
      <c r="B28" s="5" t="s">
        <v>48</v>
      </c>
      <c r="C28" s="6" t="s">
        <v>49</v>
      </c>
      <c r="D28" s="5" t="s">
        <v>31</v>
      </c>
      <c r="E28" s="5">
        <v>3</v>
      </c>
      <c r="F28" s="5">
        <f t="shared" si="0"/>
        <v>3</v>
      </c>
      <c r="G28" s="5"/>
      <c r="H28" s="3"/>
      <c r="I28" s="3"/>
      <c r="J28" s="3"/>
    </row>
    <row r="29" spans="2:10" ht="28.8" x14ac:dyDescent="0.3">
      <c r="B29" s="5" t="s">
        <v>50</v>
      </c>
      <c r="C29" s="6" t="s">
        <v>51</v>
      </c>
      <c r="D29" s="5" t="s">
        <v>52</v>
      </c>
      <c r="E29" s="5">
        <v>4</v>
      </c>
      <c r="F29" s="5">
        <f t="shared" si="0"/>
        <v>4</v>
      </c>
      <c r="G29" s="5"/>
      <c r="H29" s="3"/>
      <c r="I29" s="3"/>
      <c r="J29" s="3"/>
    </row>
    <row r="31" spans="2:10" ht="18" x14ac:dyDescent="0.3">
      <c r="B31" s="157" t="s">
        <v>53</v>
      </c>
      <c r="C31" s="157"/>
      <c r="D31" s="157"/>
      <c r="E31" s="157"/>
      <c r="F31" s="157"/>
      <c r="G31" s="157"/>
    </row>
    <row r="33" spans="2:17" ht="36" x14ac:dyDescent="0.3">
      <c r="B33" s="156" t="s">
        <v>54</v>
      </c>
      <c r="C33" s="156"/>
      <c r="D33" s="156"/>
      <c r="E33" s="156"/>
      <c r="F33" s="156"/>
      <c r="G33" s="156"/>
      <c r="H33" s="10"/>
      <c r="I33" s="10"/>
      <c r="J33" s="10"/>
      <c r="K33" s="10"/>
      <c r="L33" s="10"/>
      <c r="M33" s="10"/>
      <c r="O33" s="11" t="s">
        <v>55</v>
      </c>
      <c r="P33" s="10"/>
      <c r="Q33" s="10"/>
    </row>
    <row r="34" spans="2:17" x14ac:dyDescent="0.3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O34" s="12" t="s">
        <v>8</v>
      </c>
      <c r="P34" s="13" t="s">
        <v>56</v>
      </c>
      <c r="Q34" s="10"/>
    </row>
    <row r="35" spans="2:17" x14ac:dyDescent="0.3">
      <c r="B35" s="12" t="s">
        <v>8</v>
      </c>
      <c r="C35" s="13" t="s">
        <v>57</v>
      </c>
      <c r="D35" s="13"/>
      <c r="E35" s="13"/>
      <c r="F35" s="13"/>
      <c r="G35" s="13"/>
      <c r="H35" s="10"/>
      <c r="I35" s="10"/>
      <c r="J35" s="10"/>
      <c r="K35" s="10"/>
      <c r="L35" s="10"/>
      <c r="M35" s="10"/>
      <c r="O35" s="14"/>
      <c r="P35" s="10"/>
      <c r="Q35" s="10"/>
    </row>
    <row r="36" spans="2:17" ht="28.8" x14ac:dyDescent="0.3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O36" s="15" t="s">
        <v>58</v>
      </c>
      <c r="P36" s="16" t="s">
        <v>59</v>
      </c>
      <c r="Q36" s="15" t="s">
        <v>243</v>
      </c>
    </row>
    <row r="37" spans="2:17" x14ac:dyDescent="0.3">
      <c r="B37" s="17" t="s">
        <v>22</v>
      </c>
      <c r="C37" s="17" t="s">
        <v>23</v>
      </c>
      <c r="D37" s="17" t="s">
        <v>24</v>
      </c>
      <c r="E37" s="17" t="s">
        <v>61</v>
      </c>
      <c r="F37" s="17" t="s">
        <v>62</v>
      </c>
      <c r="G37" s="10"/>
      <c r="H37" s="17" t="s">
        <v>63</v>
      </c>
      <c r="I37" s="17" t="s">
        <v>63</v>
      </c>
      <c r="J37" s="10"/>
      <c r="K37" s="12" t="s">
        <v>21</v>
      </c>
      <c r="L37" s="10"/>
      <c r="M37" s="10"/>
      <c r="O37" s="14"/>
      <c r="P37" s="10"/>
      <c r="Q37" s="10"/>
    </row>
    <row r="38" spans="2:17" ht="28.8" x14ac:dyDescent="0.3">
      <c r="B38" s="15" t="s">
        <v>64</v>
      </c>
      <c r="C38" s="16" t="s">
        <v>65</v>
      </c>
      <c r="D38" s="15" t="s">
        <v>31</v>
      </c>
      <c r="E38" s="15">
        <v>1</v>
      </c>
      <c r="F38" s="15">
        <v>2</v>
      </c>
      <c r="G38" s="10"/>
      <c r="H38" s="15">
        <f t="shared" ref="H38:H47" si="1">IF(E38="","",IF(D38="Sì", 8-E38, E38))</f>
        <v>1</v>
      </c>
      <c r="I38" s="15">
        <f t="shared" ref="I38:I47" si="2">IF(F38="","",IF(D38="Sì", 8-F38, F38))</f>
        <v>2</v>
      </c>
      <c r="J38" s="10"/>
      <c r="K38" s="17" t="s">
        <v>66</v>
      </c>
      <c r="L38" s="15">
        <f>IFERROR(AVERAGEIF(H38:H47,"&lt;&gt;"),"")</f>
        <v>4</v>
      </c>
      <c r="M38" s="15">
        <f>IFERROR(AVERAGEIF(I38:I47,"&lt;&gt;"),"")</f>
        <v>4.5</v>
      </c>
      <c r="O38" s="14"/>
      <c r="P38" s="10"/>
      <c r="Q38" s="10"/>
    </row>
    <row r="39" spans="2:17" ht="28.8" x14ac:dyDescent="0.3">
      <c r="B39" s="15" t="s">
        <v>67</v>
      </c>
      <c r="C39" s="16" t="s">
        <v>68</v>
      </c>
      <c r="D39" s="15" t="s">
        <v>31</v>
      </c>
      <c r="E39" s="15">
        <v>7</v>
      </c>
      <c r="F39" s="15">
        <v>7</v>
      </c>
      <c r="G39" s="10"/>
      <c r="H39" s="15">
        <f t="shared" si="1"/>
        <v>7</v>
      </c>
      <c r="I39" s="15">
        <f t="shared" si="2"/>
        <v>7</v>
      </c>
      <c r="J39" s="10"/>
      <c r="K39" s="17" t="s">
        <v>69</v>
      </c>
      <c r="L39" s="15">
        <f>IF(L38="","",(L38-1)*100/6)</f>
        <v>50</v>
      </c>
      <c r="M39" s="15">
        <f>IF(M38="","",(M38-1)*100/6)</f>
        <v>58.333333333333336</v>
      </c>
      <c r="O39" s="14"/>
      <c r="P39" s="10"/>
      <c r="Q39" s="10"/>
    </row>
    <row r="40" spans="2:17" ht="28.8" x14ac:dyDescent="0.3">
      <c r="B40" s="15" t="s">
        <v>70</v>
      </c>
      <c r="C40" s="16" t="s">
        <v>71</v>
      </c>
      <c r="D40" s="15" t="s">
        <v>52</v>
      </c>
      <c r="E40" s="15">
        <v>7</v>
      </c>
      <c r="F40" s="15">
        <v>6</v>
      </c>
      <c r="G40" s="10"/>
      <c r="H40" s="15">
        <f t="shared" si="1"/>
        <v>1</v>
      </c>
      <c r="I40" s="15">
        <f t="shared" si="2"/>
        <v>2</v>
      </c>
      <c r="J40" s="10"/>
      <c r="K40" s="17" t="s">
        <v>72</v>
      </c>
      <c r="L40" s="15">
        <f>IFERROR(SUM(H38:H47),"")</f>
        <v>40</v>
      </c>
      <c r="M40" s="15">
        <f>IFERROR(SUM(H38:H47),"")</f>
        <v>40</v>
      </c>
      <c r="O40" s="14"/>
      <c r="P40" s="10"/>
      <c r="Q40" s="10"/>
    </row>
    <row r="41" spans="2:17" ht="28.8" x14ac:dyDescent="0.3">
      <c r="B41" s="15" t="s">
        <v>73</v>
      </c>
      <c r="C41" s="16" t="s">
        <v>74</v>
      </c>
      <c r="D41" s="15" t="s">
        <v>31</v>
      </c>
      <c r="E41" s="15">
        <v>5</v>
      </c>
      <c r="F41" s="15">
        <v>6</v>
      </c>
      <c r="G41" s="10"/>
      <c r="H41" s="15">
        <f t="shared" si="1"/>
        <v>5</v>
      </c>
      <c r="I41" s="15">
        <f t="shared" si="2"/>
        <v>6</v>
      </c>
      <c r="J41" s="10"/>
      <c r="K41" s="10"/>
      <c r="L41" s="10"/>
      <c r="M41" s="10"/>
      <c r="O41" s="14"/>
      <c r="P41" s="10"/>
      <c r="Q41" s="10"/>
    </row>
    <row r="42" spans="2:17" ht="28.8" x14ac:dyDescent="0.3">
      <c r="B42" s="15" t="s">
        <v>75</v>
      </c>
      <c r="C42" s="16" t="s">
        <v>76</v>
      </c>
      <c r="D42" s="15" t="s">
        <v>31</v>
      </c>
      <c r="E42" s="15">
        <v>5</v>
      </c>
      <c r="F42" s="15">
        <v>6</v>
      </c>
      <c r="G42" s="10"/>
      <c r="H42" s="15">
        <f t="shared" si="1"/>
        <v>5</v>
      </c>
      <c r="I42" s="15">
        <f t="shared" si="2"/>
        <v>6</v>
      </c>
      <c r="J42" s="10"/>
      <c r="K42" s="10"/>
      <c r="L42" s="10"/>
      <c r="M42" s="10"/>
      <c r="O42" s="14"/>
      <c r="P42" s="10"/>
      <c r="Q42" s="10"/>
    </row>
    <row r="43" spans="2:17" x14ac:dyDescent="0.3">
      <c r="B43" s="15" t="s">
        <v>77</v>
      </c>
      <c r="C43" s="16" t="s">
        <v>78</v>
      </c>
      <c r="D43" s="15" t="s">
        <v>31</v>
      </c>
      <c r="E43" s="15">
        <v>5</v>
      </c>
      <c r="F43" s="15">
        <v>5</v>
      </c>
      <c r="G43" s="10"/>
      <c r="H43" s="15">
        <f t="shared" si="1"/>
        <v>5</v>
      </c>
      <c r="I43" s="15">
        <f t="shared" si="2"/>
        <v>5</v>
      </c>
      <c r="J43" s="10"/>
      <c r="K43" s="10"/>
      <c r="L43" s="10"/>
      <c r="M43" s="10"/>
      <c r="O43" s="14"/>
      <c r="P43" s="10"/>
      <c r="Q43" s="10"/>
    </row>
    <row r="44" spans="2:17" x14ac:dyDescent="0.3">
      <c r="B44" s="15" t="s">
        <v>79</v>
      </c>
      <c r="C44" s="16" t="s">
        <v>80</v>
      </c>
      <c r="D44" s="15" t="s">
        <v>31</v>
      </c>
      <c r="E44" s="15">
        <v>3</v>
      </c>
      <c r="F44" s="15">
        <v>3</v>
      </c>
      <c r="G44" s="10"/>
      <c r="H44" s="15">
        <f t="shared" si="1"/>
        <v>3</v>
      </c>
      <c r="I44" s="15">
        <f t="shared" si="2"/>
        <v>3</v>
      </c>
      <c r="J44" s="10"/>
      <c r="K44" s="10"/>
      <c r="L44" s="10"/>
      <c r="M44" s="10"/>
      <c r="O44" s="14"/>
      <c r="P44" s="10"/>
      <c r="Q44" s="10"/>
    </row>
    <row r="45" spans="2:17" ht="28.8" x14ac:dyDescent="0.3">
      <c r="B45" s="15" t="s">
        <v>81</v>
      </c>
      <c r="C45" s="16" t="s">
        <v>82</v>
      </c>
      <c r="D45" s="15" t="s">
        <v>52</v>
      </c>
      <c r="E45" s="15">
        <v>3</v>
      </c>
      <c r="F45" s="15">
        <v>2</v>
      </c>
      <c r="G45" s="10"/>
      <c r="H45" s="15">
        <f t="shared" si="1"/>
        <v>5</v>
      </c>
      <c r="I45" s="15">
        <f t="shared" si="2"/>
        <v>6</v>
      </c>
      <c r="J45" s="10"/>
      <c r="K45" s="10"/>
      <c r="L45" s="10"/>
      <c r="M45" s="10"/>
      <c r="O45" s="14"/>
      <c r="P45" s="10"/>
      <c r="Q45" s="10"/>
    </row>
    <row r="46" spans="2:17" ht="28.8" x14ac:dyDescent="0.3">
      <c r="B46" s="15" t="s">
        <v>83</v>
      </c>
      <c r="C46" s="16" t="s">
        <v>84</v>
      </c>
      <c r="D46" s="15" t="s">
        <v>31</v>
      </c>
      <c r="E46" s="15">
        <v>5</v>
      </c>
      <c r="F46" s="15">
        <v>5</v>
      </c>
      <c r="G46" s="10"/>
      <c r="H46" s="15">
        <f t="shared" si="1"/>
        <v>5</v>
      </c>
      <c r="I46" s="15">
        <f t="shared" si="2"/>
        <v>5</v>
      </c>
      <c r="J46" s="10"/>
      <c r="K46" s="10"/>
      <c r="L46" s="10"/>
      <c r="M46" s="10"/>
      <c r="O46" s="15" t="s">
        <v>85</v>
      </c>
      <c r="P46" s="16" t="s">
        <v>86</v>
      </c>
      <c r="Q46" s="15" t="s">
        <v>60</v>
      </c>
    </row>
    <row r="47" spans="2:17" ht="28.8" x14ac:dyDescent="0.3">
      <c r="B47" s="15" t="s">
        <v>87</v>
      </c>
      <c r="C47" s="16" t="s">
        <v>256</v>
      </c>
      <c r="D47" s="15" t="s">
        <v>31</v>
      </c>
      <c r="E47" s="15">
        <v>3</v>
      </c>
      <c r="F47" s="15">
        <v>3</v>
      </c>
      <c r="G47" s="10"/>
      <c r="H47" s="15">
        <f t="shared" si="1"/>
        <v>3</v>
      </c>
      <c r="I47" s="15">
        <f t="shared" si="2"/>
        <v>3</v>
      </c>
      <c r="J47" s="10"/>
      <c r="K47" s="10"/>
      <c r="L47" s="10"/>
      <c r="M47" s="10"/>
      <c r="O47" s="14"/>
      <c r="P47" s="10"/>
      <c r="Q47" s="10"/>
    </row>
    <row r="48" spans="2:17" x14ac:dyDescent="0.3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O48" s="14"/>
      <c r="P48" s="10"/>
      <c r="Q48" s="10"/>
    </row>
    <row r="49" spans="2:17" x14ac:dyDescent="0.3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O49" s="14"/>
      <c r="P49" s="10"/>
      <c r="Q49" s="10"/>
    </row>
    <row r="50" spans="2:17" ht="18" x14ac:dyDescent="0.3">
      <c r="B50" s="156" t="s">
        <v>90</v>
      </c>
      <c r="C50" s="156"/>
      <c r="D50" s="156"/>
      <c r="E50" s="156"/>
      <c r="F50" s="156"/>
      <c r="G50" s="156"/>
      <c r="H50" s="10"/>
      <c r="I50" s="10"/>
      <c r="J50" s="10"/>
      <c r="K50" s="10"/>
      <c r="L50" s="10"/>
      <c r="M50" s="10"/>
      <c r="O50" s="14"/>
      <c r="P50" s="10"/>
      <c r="Q50" s="10"/>
    </row>
    <row r="51" spans="2:17" x14ac:dyDescent="0.3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O51" s="14"/>
      <c r="P51" s="10"/>
      <c r="Q51" s="10"/>
    </row>
    <row r="52" spans="2:17" x14ac:dyDescent="0.3">
      <c r="B52" s="12" t="s">
        <v>8</v>
      </c>
      <c r="C52" s="13" t="s">
        <v>57</v>
      </c>
      <c r="D52" s="13"/>
      <c r="E52" s="13"/>
      <c r="F52" s="13"/>
      <c r="G52" s="13"/>
      <c r="H52" s="10"/>
      <c r="I52" s="10"/>
      <c r="J52" s="10"/>
      <c r="K52" s="10"/>
      <c r="L52" s="10"/>
      <c r="M52" s="10"/>
      <c r="O52" s="14"/>
      <c r="P52" s="10"/>
      <c r="Q52" s="10"/>
    </row>
    <row r="53" spans="2:17" x14ac:dyDescent="0.3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O53" s="14"/>
      <c r="P53" s="10"/>
      <c r="Q53" s="10"/>
    </row>
    <row r="54" spans="2:17" x14ac:dyDescent="0.3">
      <c r="B54" s="17" t="s">
        <v>22</v>
      </c>
      <c r="C54" s="17" t="s">
        <v>23</v>
      </c>
      <c r="D54" s="17" t="s">
        <v>24</v>
      </c>
      <c r="E54" s="17" t="s">
        <v>61</v>
      </c>
      <c r="F54" s="17" t="s">
        <v>62</v>
      </c>
      <c r="G54" s="10"/>
      <c r="H54" s="17" t="s">
        <v>63</v>
      </c>
      <c r="I54" s="17" t="s">
        <v>63</v>
      </c>
      <c r="J54" s="10"/>
      <c r="K54" s="12" t="s">
        <v>21</v>
      </c>
      <c r="L54" s="10"/>
      <c r="M54" s="10"/>
      <c r="O54" s="14"/>
      <c r="P54" s="10"/>
      <c r="Q54" s="10"/>
    </row>
    <row r="55" spans="2:17" ht="28.8" x14ac:dyDescent="0.3">
      <c r="B55" s="15" t="s">
        <v>91</v>
      </c>
      <c r="C55" s="16" t="s">
        <v>92</v>
      </c>
      <c r="D55" s="15" t="s">
        <v>31</v>
      </c>
      <c r="E55" s="15">
        <v>7</v>
      </c>
      <c r="F55" s="15">
        <v>7</v>
      </c>
      <c r="G55" s="10"/>
      <c r="H55" s="15">
        <f t="shared" ref="H55:H60" si="3">IF(E55="","",IF(D55="Sì", 8-E55, E55))</f>
        <v>7</v>
      </c>
      <c r="I55" s="15">
        <f>IF(F55="","",IF(D55="Sì", 8-F55, F55))</f>
        <v>7</v>
      </c>
      <c r="J55" s="10"/>
      <c r="K55" s="17" t="s">
        <v>66</v>
      </c>
      <c r="L55" s="15">
        <f>IFERROR(AVERAGEIF(H55:H60,"&lt;&gt;"),"")</f>
        <v>5.166666666666667</v>
      </c>
      <c r="M55" s="15">
        <f>IFERROR(AVERAGEIF(I55:I60,"&lt;&gt;"),"")</f>
        <v>5</v>
      </c>
      <c r="O55" s="14"/>
      <c r="P55" s="10"/>
      <c r="Q55" s="10"/>
    </row>
    <row r="56" spans="2:17" x14ac:dyDescent="0.3">
      <c r="B56" s="15" t="s">
        <v>93</v>
      </c>
      <c r="C56" s="16" t="s">
        <v>94</v>
      </c>
      <c r="D56" s="15" t="s">
        <v>31</v>
      </c>
      <c r="E56" s="15">
        <v>5</v>
      </c>
      <c r="F56" s="15">
        <v>4</v>
      </c>
      <c r="G56" s="10"/>
      <c r="H56" s="15">
        <f t="shared" si="3"/>
        <v>5</v>
      </c>
      <c r="I56" s="15">
        <f t="shared" ref="I56:I60" si="4">IF(F56="","",IF(D56="Sì", 8-F56, F56))</f>
        <v>4</v>
      </c>
      <c r="J56" s="10"/>
      <c r="K56" s="17" t="s">
        <v>69</v>
      </c>
      <c r="L56" s="15">
        <f>IF(L55="","",(L55-1)*100/6)</f>
        <v>69.444444444444443</v>
      </c>
      <c r="M56" s="15">
        <f>IF(M55="","",(M55-1)*100/6)</f>
        <v>66.666666666666671</v>
      </c>
      <c r="O56" s="10"/>
      <c r="P56" s="10"/>
      <c r="Q56" s="10"/>
    </row>
    <row r="57" spans="2:17" ht="28.8" x14ac:dyDescent="0.3">
      <c r="B57" s="15" t="s">
        <v>95</v>
      </c>
      <c r="C57" s="16" t="s">
        <v>96</v>
      </c>
      <c r="D57" s="15" t="s">
        <v>31</v>
      </c>
      <c r="E57" s="15">
        <v>5</v>
      </c>
      <c r="F57" s="15">
        <v>5</v>
      </c>
      <c r="G57" s="10"/>
      <c r="H57" s="15">
        <f t="shared" si="3"/>
        <v>5</v>
      </c>
      <c r="I57" s="15">
        <f t="shared" si="4"/>
        <v>5</v>
      </c>
      <c r="J57" s="10"/>
      <c r="K57" s="17" t="s">
        <v>72</v>
      </c>
      <c r="L57" s="15">
        <f>IFERROR(SUM(H55:H60),"")</f>
        <v>31</v>
      </c>
      <c r="M57" s="15">
        <f>IFERROR(SUM(I55:I60),"")</f>
        <v>25</v>
      </c>
    </row>
    <row r="58" spans="2:17" ht="28.8" x14ac:dyDescent="0.3">
      <c r="B58" s="15" t="s">
        <v>97</v>
      </c>
      <c r="C58" s="16" t="s">
        <v>98</v>
      </c>
      <c r="D58" s="15" t="s">
        <v>52</v>
      </c>
      <c r="E58" s="15">
        <v>6</v>
      </c>
      <c r="F58" s="15">
        <v>6</v>
      </c>
      <c r="G58" s="10"/>
      <c r="H58" s="15">
        <f t="shared" si="3"/>
        <v>2</v>
      </c>
      <c r="I58" s="15">
        <f t="shared" si="4"/>
        <v>2</v>
      </c>
      <c r="J58" s="10"/>
      <c r="K58" s="10"/>
      <c r="L58" s="10"/>
      <c r="M58" s="10"/>
    </row>
    <row r="59" spans="2:17" ht="28.8" x14ac:dyDescent="0.3">
      <c r="B59" s="15" t="s">
        <v>99</v>
      </c>
      <c r="C59" s="16" t="s">
        <v>100</v>
      </c>
      <c r="D59" s="15" t="s">
        <v>31</v>
      </c>
      <c r="E59" s="15">
        <v>7</v>
      </c>
      <c r="F59" s="15">
        <v>7</v>
      </c>
      <c r="G59" s="10"/>
      <c r="H59" s="15">
        <f t="shared" si="3"/>
        <v>7</v>
      </c>
      <c r="I59" s="15">
        <f t="shared" si="4"/>
        <v>7</v>
      </c>
      <c r="J59" s="10"/>
      <c r="K59" s="10"/>
      <c r="L59" s="10"/>
      <c r="M59" s="10"/>
    </row>
    <row r="60" spans="2:17" ht="28.8" x14ac:dyDescent="0.3">
      <c r="B60" s="15" t="s">
        <v>101</v>
      </c>
      <c r="C60" s="16" t="s">
        <v>102</v>
      </c>
      <c r="D60" s="15" t="s">
        <v>31</v>
      </c>
      <c r="E60" s="15">
        <v>5</v>
      </c>
      <c r="F60" s="15"/>
      <c r="G60" s="10"/>
      <c r="H60" s="15">
        <f t="shared" si="3"/>
        <v>5</v>
      </c>
      <c r="I60" s="15" t="str">
        <f t="shared" si="4"/>
        <v/>
      </c>
      <c r="J60" s="10"/>
      <c r="K60" s="10"/>
      <c r="L60" s="10"/>
      <c r="M60" s="10"/>
    </row>
    <row r="61" spans="2:17" x14ac:dyDescent="0.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7" x14ac:dyDescent="0.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7" ht="18" x14ac:dyDescent="0.3">
      <c r="B63" s="156" t="s">
        <v>103</v>
      </c>
      <c r="C63" s="156"/>
      <c r="D63" s="156"/>
      <c r="E63" s="156"/>
      <c r="F63" s="156"/>
      <c r="G63" s="156"/>
      <c r="H63" s="10"/>
      <c r="I63" s="10"/>
      <c r="J63" s="10"/>
      <c r="K63" s="10"/>
      <c r="L63" s="10"/>
      <c r="M63" s="10"/>
    </row>
    <row r="64" spans="2:17" x14ac:dyDescent="0.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 x14ac:dyDescent="0.3">
      <c r="B65" s="12" t="s">
        <v>8</v>
      </c>
      <c r="C65" s="13" t="s">
        <v>57</v>
      </c>
      <c r="D65" s="13"/>
      <c r="E65" s="13"/>
      <c r="F65" s="13"/>
      <c r="G65" s="13"/>
      <c r="H65" s="10"/>
      <c r="I65" s="10"/>
      <c r="J65" s="10"/>
      <c r="K65" s="10"/>
      <c r="L65" s="10"/>
      <c r="M65" s="10"/>
    </row>
    <row r="66" spans="2:13" x14ac:dyDescent="0.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 x14ac:dyDescent="0.3">
      <c r="B67" s="17" t="s">
        <v>22</v>
      </c>
      <c r="C67" s="17" t="s">
        <v>23</v>
      </c>
      <c r="D67" s="17" t="s">
        <v>24</v>
      </c>
      <c r="E67" s="17" t="s">
        <v>61</v>
      </c>
      <c r="F67" s="17" t="s">
        <v>62</v>
      </c>
      <c r="G67" s="10"/>
      <c r="H67" s="17" t="s">
        <v>63</v>
      </c>
      <c r="I67" s="17" t="s">
        <v>63</v>
      </c>
      <c r="J67" s="10"/>
      <c r="K67" s="12" t="s">
        <v>21</v>
      </c>
      <c r="L67" s="10"/>
      <c r="M67" s="10"/>
    </row>
    <row r="68" spans="2:13" ht="28.8" x14ac:dyDescent="0.3">
      <c r="B68" s="15" t="s">
        <v>104</v>
      </c>
      <c r="C68" s="16" t="s">
        <v>257</v>
      </c>
      <c r="D68" s="15" t="s">
        <v>31</v>
      </c>
      <c r="E68" s="15">
        <v>2</v>
      </c>
      <c r="F68" s="15">
        <v>2</v>
      </c>
      <c r="G68" s="10"/>
      <c r="H68" s="15">
        <f>IF(E68="","",IF(D68="Sì", 8-E68, E68))</f>
        <v>2</v>
      </c>
      <c r="I68" s="15">
        <f>IF(F68="","",IF(D68="Sì", 8-F68, F68))</f>
        <v>2</v>
      </c>
      <c r="J68" s="10"/>
      <c r="K68" s="17" t="s">
        <v>66</v>
      </c>
      <c r="L68" s="15">
        <f>IFERROR(AVERAGEIF(H68:H70,"&lt;&gt;"),"")</f>
        <v>2.6666666666666665</v>
      </c>
      <c r="M68" s="15">
        <f>IFERROR(AVERAGEIF(I68:I70,"&lt;&gt;"),"")</f>
        <v>2.6666666666666665</v>
      </c>
    </row>
    <row r="69" spans="2:13" x14ac:dyDescent="0.3">
      <c r="B69" s="15" t="s">
        <v>106</v>
      </c>
      <c r="C69" s="16" t="s">
        <v>107</v>
      </c>
      <c r="D69" s="15" t="s">
        <v>31</v>
      </c>
      <c r="E69" s="15">
        <v>2</v>
      </c>
      <c r="F69" s="15">
        <v>2</v>
      </c>
      <c r="G69" s="10"/>
      <c r="H69" s="15">
        <f>IF(E69="","",IF(D69="Sì", 8-E69, E69))</f>
        <v>2</v>
      </c>
      <c r="I69" s="15">
        <f t="shared" ref="I69:I70" si="5">IF(F69="","",IF(D69="Sì", 8-F69, F69))</f>
        <v>2</v>
      </c>
      <c r="J69" s="10"/>
      <c r="K69" s="17" t="s">
        <v>69</v>
      </c>
      <c r="L69" s="15">
        <f>IF(L68="","",(L68-1)*100/6)</f>
        <v>27.777777777777775</v>
      </c>
      <c r="M69" s="15">
        <f>IF(M68="","",(M68-1)*100/6)</f>
        <v>27.777777777777775</v>
      </c>
    </row>
    <row r="70" spans="2:13" ht="28.8" x14ac:dyDescent="0.3">
      <c r="B70" s="15" t="s">
        <v>108</v>
      </c>
      <c r="C70" s="16" t="s">
        <v>109</v>
      </c>
      <c r="D70" s="15" t="s">
        <v>52</v>
      </c>
      <c r="E70" s="15">
        <v>4</v>
      </c>
      <c r="F70" s="15">
        <v>4</v>
      </c>
      <c r="G70" s="10"/>
      <c r="H70" s="15">
        <f>IF(E70="","",IF(D70="Sì", 8-E70, E70))</f>
        <v>4</v>
      </c>
      <c r="I70" s="15">
        <f t="shared" si="5"/>
        <v>4</v>
      </c>
      <c r="J70" s="10"/>
      <c r="K70" s="17" t="s">
        <v>72</v>
      </c>
      <c r="L70" s="15">
        <f>IFERROR(SUM(H68:H70),"")</f>
        <v>8</v>
      </c>
      <c r="M70" s="15">
        <f>IFERROR(SUM(I68:I70),"")</f>
        <v>8</v>
      </c>
    </row>
    <row r="71" spans="2:13" x14ac:dyDescent="0.3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</row>
    <row r="72" spans="2:13" x14ac:dyDescent="0.3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</row>
    <row r="73" spans="2:13" ht="18" x14ac:dyDescent="0.3">
      <c r="B73" s="156" t="s">
        <v>110</v>
      </c>
      <c r="C73" s="156"/>
      <c r="D73" s="156"/>
      <c r="E73" s="156"/>
      <c r="F73" s="156"/>
      <c r="G73" s="156"/>
      <c r="H73" s="10"/>
      <c r="I73" s="10"/>
      <c r="J73" s="10"/>
      <c r="K73" s="10"/>
      <c r="L73" s="10"/>
      <c r="M73" s="10"/>
    </row>
    <row r="74" spans="2:13" x14ac:dyDescent="0.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  <row r="75" spans="2:13" x14ac:dyDescent="0.3">
      <c r="B75" s="12" t="s">
        <v>8</v>
      </c>
      <c r="C75" s="13" t="s">
        <v>57</v>
      </c>
      <c r="D75" s="13"/>
      <c r="E75" s="13"/>
      <c r="F75" s="13"/>
      <c r="G75" s="13"/>
      <c r="H75" s="10"/>
      <c r="I75" s="10"/>
      <c r="J75" s="10"/>
      <c r="K75" s="10"/>
      <c r="L75" s="10"/>
      <c r="M75" s="10"/>
    </row>
    <row r="76" spans="2:13" x14ac:dyDescent="0.3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</row>
    <row r="77" spans="2:13" x14ac:dyDescent="0.3">
      <c r="B77" s="17" t="s">
        <v>22</v>
      </c>
      <c r="C77" s="17" t="s">
        <v>23</v>
      </c>
      <c r="D77" s="17" t="s">
        <v>24</v>
      </c>
      <c r="E77" s="17" t="s">
        <v>61</v>
      </c>
      <c r="F77" s="17" t="s">
        <v>62</v>
      </c>
      <c r="G77" s="10"/>
      <c r="H77" s="17" t="s">
        <v>63</v>
      </c>
      <c r="I77" s="17" t="s">
        <v>63</v>
      </c>
      <c r="J77" s="10"/>
      <c r="K77" s="12" t="s">
        <v>21</v>
      </c>
      <c r="L77" s="10"/>
      <c r="M77" s="10"/>
    </row>
    <row r="78" spans="2:13" x14ac:dyDescent="0.3">
      <c r="B78" s="15" t="s">
        <v>111</v>
      </c>
      <c r="C78" s="16" t="s">
        <v>112</v>
      </c>
      <c r="D78" s="15" t="s">
        <v>31</v>
      </c>
      <c r="E78" s="15">
        <v>3</v>
      </c>
      <c r="F78" s="15">
        <v>4</v>
      </c>
      <c r="G78" s="10"/>
      <c r="H78" s="15">
        <f t="shared" ref="H78:H83" si="6">IF(E78="","",IF(D78="Sì", 8-E78, E78))</f>
        <v>3</v>
      </c>
      <c r="I78" s="15">
        <f>IF(F78="","",IF(D78="Sì", 8-F78, F78))</f>
        <v>4</v>
      </c>
      <c r="J78" s="10"/>
      <c r="K78" s="17" t="s">
        <v>66</v>
      </c>
      <c r="L78" s="15">
        <f>IFERROR(AVERAGEIF(H78:H83,"&lt;&gt;"),"")</f>
        <v>2.3333333333333335</v>
      </c>
      <c r="M78" s="15">
        <f>IFERROR(AVERAGEIF(I78:I83,"&lt;&gt;"),"")</f>
        <v>2.5</v>
      </c>
    </row>
    <row r="79" spans="2:13" ht="28.8" x14ac:dyDescent="0.3">
      <c r="B79" s="15" t="s">
        <v>113</v>
      </c>
      <c r="C79" s="16" t="s">
        <v>114</v>
      </c>
      <c r="D79" s="15" t="s">
        <v>31</v>
      </c>
      <c r="E79" s="15">
        <v>3</v>
      </c>
      <c r="F79" s="15">
        <v>3</v>
      </c>
      <c r="G79" s="10"/>
      <c r="H79" s="15">
        <f t="shared" si="6"/>
        <v>3</v>
      </c>
      <c r="I79" s="15">
        <f t="shared" ref="I79:I83" si="7">IF(F79="","",IF(D79="Sì", 8-F79, F79))</f>
        <v>3</v>
      </c>
      <c r="J79" s="10"/>
      <c r="K79" s="17" t="s">
        <v>69</v>
      </c>
      <c r="L79" s="15">
        <f>IF(L78="","",(L78-1)*100/6)</f>
        <v>22.222222222222225</v>
      </c>
      <c r="M79" s="15">
        <f>IF(M78="","",(M78-1)*100/6)</f>
        <v>25</v>
      </c>
    </row>
    <row r="80" spans="2:13" ht="28.8" x14ac:dyDescent="0.3">
      <c r="B80" s="15" t="s">
        <v>115</v>
      </c>
      <c r="C80" s="16" t="s">
        <v>116</v>
      </c>
      <c r="D80" s="15" t="s">
        <v>31</v>
      </c>
      <c r="E80" s="15">
        <v>2</v>
      </c>
      <c r="F80" s="15">
        <v>3</v>
      </c>
      <c r="G80" s="10"/>
      <c r="H80" s="15">
        <f t="shared" si="6"/>
        <v>2</v>
      </c>
      <c r="I80" s="15">
        <f t="shared" si="7"/>
        <v>3</v>
      </c>
      <c r="J80" s="10"/>
      <c r="K80" s="17" t="s">
        <v>72</v>
      </c>
      <c r="L80" s="15">
        <f>IFERROR(SUM(H78:H83),"")</f>
        <v>14</v>
      </c>
      <c r="M80" s="15">
        <f>IFERROR(SUM(I78:I83),"")</f>
        <v>15</v>
      </c>
    </row>
    <row r="81" spans="2:13" ht="28.8" x14ac:dyDescent="0.3">
      <c r="B81" s="15" t="s">
        <v>117</v>
      </c>
      <c r="C81" s="16" t="s">
        <v>118</v>
      </c>
      <c r="D81" s="15" t="s">
        <v>31</v>
      </c>
      <c r="E81" s="15">
        <v>2</v>
      </c>
      <c r="F81" s="15">
        <v>2</v>
      </c>
      <c r="G81" s="10"/>
      <c r="H81" s="15">
        <f t="shared" si="6"/>
        <v>2</v>
      </c>
      <c r="I81" s="15">
        <f t="shared" si="7"/>
        <v>2</v>
      </c>
      <c r="J81" s="10"/>
      <c r="K81" s="10"/>
      <c r="L81" s="10"/>
      <c r="M81" s="10"/>
    </row>
    <row r="82" spans="2:13" ht="28.8" x14ac:dyDescent="0.3">
      <c r="B82" s="15" t="s">
        <v>119</v>
      </c>
      <c r="C82" s="16" t="s">
        <v>120</v>
      </c>
      <c r="D82" s="15" t="s">
        <v>31</v>
      </c>
      <c r="E82" s="15">
        <v>2</v>
      </c>
      <c r="F82" s="15">
        <v>1</v>
      </c>
      <c r="G82" s="10"/>
      <c r="H82" s="15">
        <f t="shared" si="6"/>
        <v>2</v>
      </c>
      <c r="I82" s="15">
        <f t="shared" si="7"/>
        <v>1</v>
      </c>
      <c r="J82" s="10"/>
      <c r="K82" s="10"/>
      <c r="L82" s="10"/>
      <c r="M82" s="10"/>
    </row>
    <row r="83" spans="2:13" ht="28.8" x14ac:dyDescent="0.3">
      <c r="B83" s="15" t="s">
        <v>121</v>
      </c>
      <c r="C83" s="16" t="s">
        <v>122</v>
      </c>
      <c r="D83" s="15" t="s">
        <v>52</v>
      </c>
      <c r="E83" s="15">
        <v>6</v>
      </c>
      <c r="F83" s="15">
        <v>6</v>
      </c>
      <c r="G83" s="10"/>
      <c r="H83" s="15">
        <f t="shared" si="6"/>
        <v>2</v>
      </c>
      <c r="I83" s="15">
        <f t="shared" si="7"/>
        <v>2</v>
      </c>
      <c r="J83" s="10"/>
      <c r="K83" s="10"/>
      <c r="L83" s="10"/>
      <c r="M83" s="10"/>
    </row>
    <row r="84" spans="2:13" x14ac:dyDescent="0.3">
      <c r="B84" s="10"/>
      <c r="C84" s="14"/>
      <c r="D84" s="10"/>
      <c r="E84" s="10"/>
      <c r="F84" s="10"/>
      <c r="G84" s="10"/>
      <c r="H84" s="10"/>
      <c r="I84" s="10"/>
      <c r="J84" s="10"/>
      <c r="K84" s="10"/>
      <c r="L84" s="10"/>
      <c r="M84" s="10"/>
    </row>
    <row r="85" spans="2:13" x14ac:dyDescent="0.3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</row>
    <row r="86" spans="2:13" ht="18" x14ac:dyDescent="0.3">
      <c r="B86" s="156" t="s">
        <v>123</v>
      </c>
      <c r="C86" s="156"/>
      <c r="D86" s="156"/>
      <c r="E86" s="156"/>
      <c r="F86" s="156"/>
      <c r="G86" s="156"/>
      <c r="H86" s="10"/>
      <c r="I86" s="10"/>
      <c r="J86" s="10"/>
      <c r="K86" s="10"/>
      <c r="L86" s="10"/>
      <c r="M86" s="10"/>
    </row>
    <row r="87" spans="2:13" x14ac:dyDescent="0.3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</row>
    <row r="88" spans="2:13" x14ac:dyDescent="0.3">
      <c r="B88" s="12" t="s">
        <v>8</v>
      </c>
      <c r="C88" s="13" t="s">
        <v>57</v>
      </c>
      <c r="D88" s="13"/>
      <c r="E88" s="13"/>
      <c r="F88" s="13"/>
      <c r="G88" s="13"/>
      <c r="H88" s="10"/>
      <c r="I88" s="10"/>
      <c r="J88" s="10"/>
      <c r="K88" s="10"/>
      <c r="L88" s="10"/>
      <c r="M88" s="10"/>
    </row>
    <row r="89" spans="2:13" x14ac:dyDescent="0.3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</row>
    <row r="90" spans="2:13" x14ac:dyDescent="0.3">
      <c r="B90" s="17" t="s">
        <v>22</v>
      </c>
      <c r="C90" s="17" t="s">
        <v>23</v>
      </c>
      <c r="D90" s="17" t="s">
        <v>24</v>
      </c>
      <c r="E90" s="17" t="s">
        <v>61</v>
      </c>
      <c r="F90" s="17" t="s">
        <v>62</v>
      </c>
      <c r="G90" s="10"/>
      <c r="H90" s="17" t="s">
        <v>63</v>
      </c>
      <c r="I90" s="17" t="s">
        <v>63</v>
      </c>
      <c r="J90" s="10"/>
      <c r="K90" s="12" t="s">
        <v>21</v>
      </c>
      <c r="L90" s="10"/>
      <c r="M90" s="10"/>
    </row>
    <row r="91" spans="2:13" x14ac:dyDescent="0.3">
      <c r="B91" s="15" t="s">
        <v>124</v>
      </c>
      <c r="C91" s="16" t="s">
        <v>125</v>
      </c>
      <c r="D91" s="15" t="s">
        <v>31</v>
      </c>
      <c r="E91" s="15">
        <v>5</v>
      </c>
      <c r="F91" s="15">
        <v>5</v>
      </c>
      <c r="G91" s="10"/>
      <c r="H91" s="15">
        <f>IF(E91="","",IF(D91="Sì", 8-E91, E91))</f>
        <v>5</v>
      </c>
      <c r="I91" s="15">
        <f>IF(F91="","",IF(D91="Sì", 8-F91, F91))</f>
        <v>5</v>
      </c>
      <c r="J91" s="10"/>
      <c r="K91" s="17" t="s">
        <v>66</v>
      </c>
      <c r="L91" s="15">
        <f>IFERROR(AVERAGEIF(H91:H95,"&lt;&gt;"),"")</f>
        <v>5.8</v>
      </c>
      <c r="M91" s="15">
        <f>IFERROR(AVERAGEIF(I91:I95,"&lt;&gt;"),"")</f>
        <v>5.8</v>
      </c>
    </row>
    <row r="92" spans="2:13" x14ac:dyDescent="0.3">
      <c r="B92" s="15" t="s">
        <v>126</v>
      </c>
      <c r="C92" s="16" t="s">
        <v>127</v>
      </c>
      <c r="D92" s="15" t="s">
        <v>52</v>
      </c>
      <c r="E92" s="15">
        <v>2</v>
      </c>
      <c r="F92" s="15">
        <v>2</v>
      </c>
      <c r="G92" s="10"/>
      <c r="H92" s="15">
        <f>IF(E92="","",IF(D92="Sì", 8-E92, E92))</f>
        <v>6</v>
      </c>
      <c r="I92" s="15">
        <f t="shared" ref="I92:I95" si="8">IF(F92="","",IF(D92="Sì", 8-F92, F92))</f>
        <v>6</v>
      </c>
      <c r="J92" s="10"/>
      <c r="K92" s="17" t="s">
        <v>69</v>
      </c>
      <c r="L92" s="15">
        <f>IF(L91="","",(L91-1)*100/6)</f>
        <v>80</v>
      </c>
      <c r="M92" s="15">
        <f>IF(M91="","",(M91-1)*100/6)</f>
        <v>80</v>
      </c>
    </row>
    <row r="93" spans="2:13" x14ac:dyDescent="0.3">
      <c r="B93" s="15" t="s">
        <v>128</v>
      </c>
      <c r="C93" s="16" t="s">
        <v>129</v>
      </c>
      <c r="D93" s="15" t="s">
        <v>52</v>
      </c>
      <c r="E93" s="15">
        <v>2</v>
      </c>
      <c r="F93" s="15">
        <v>2</v>
      </c>
      <c r="G93" s="10"/>
      <c r="H93" s="15">
        <f>IF(E93="","",IF(D93="Sì", 8-E93, E93))</f>
        <v>6</v>
      </c>
      <c r="I93" s="15">
        <f t="shared" si="8"/>
        <v>6</v>
      </c>
      <c r="J93" s="10"/>
      <c r="K93" s="17" t="s">
        <v>72</v>
      </c>
      <c r="L93" s="15">
        <f>IFERROR(SUM(H91:H95),"")</f>
        <v>29</v>
      </c>
      <c r="M93" s="15">
        <f>IFERROR(SUM(I91:I95),"")</f>
        <v>29</v>
      </c>
    </row>
    <row r="94" spans="2:13" ht="28.8" x14ac:dyDescent="0.3">
      <c r="B94" s="15" t="s">
        <v>130</v>
      </c>
      <c r="C94" s="16" t="s">
        <v>131</v>
      </c>
      <c r="D94" s="15" t="s">
        <v>31</v>
      </c>
      <c r="E94" s="15">
        <v>5</v>
      </c>
      <c r="F94" s="15">
        <v>5</v>
      </c>
      <c r="G94" s="10"/>
      <c r="H94" s="15">
        <f>IF(E94="","",IF(D94="Sì", 8-E94, E94))</f>
        <v>5</v>
      </c>
      <c r="I94" s="15">
        <f t="shared" si="8"/>
        <v>5</v>
      </c>
      <c r="J94" s="10"/>
      <c r="K94" s="10"/>
      <c r="L94" s="10"/>
      <c r="M94" s="10"/>
    </row>
    <row r="95" spans="2:13" x14ac:dyDescent="0.3">
      <c r="B95" s="15" t="s">
        <v>132</v>
      </c>
      <c r="C95" s="16" t="s">
        <v>133</v>
      </c>
      <c r="D95" s="15" t="s">
        <v>52</v>
      </c>
      <c r="E95" s="15">
        <v>1</v>
      </c>
      <c r="F95" s="15">
        <v>1</v>
      </c>
      <c r="G95" s="10"/>
      <c r="H95" s="15">
        <f>IF(E95="","",IF(D95="Sì", 8-E95, E95))</f>
        <v>7</v>
      </c>
      <c r="I95" s="15">
        <f t="shared" si="8"/>
        <v>7</v>
      </c>
      <c r="J95" s="10"/>
      <c r="K95" s="10"/>
      <c r="L95" s="10"/>
      <c r="M95" s="10"/>
    </row>
    <row r="96" spans="2:13" x14ac:dyDescent="0.3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</row>
    <row r="97" spans="2:13" x14ac:dyDescent="0.3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</row>
    <row r="98" spans="2:13" ht="18" x14ac:dyDescent="0.3">
      <c r="B98" s="156" t="s">
        <v>134</v>
      </c>
      <c r="C98" s="156"/>
      <c r="D98" s="156"/>
      <c r="E98" s="156"/>
      <c r="F98" s="156"/>
      <c r="G98" s="156"/>
      <c r="H98" s="10"/>
      <c r="I98" s="10"/>
      <c r="J98" s="10"/>
      <c r="K98" s="10"/>
      <c r="L98" s="10"/>
      <c r="M98" s="10"/>
    </row>
    <row r="99" spans="2:13" x14ac:dyDescent="0.3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</row>
    <row r="100" spans="2:13" x14ac:dyDescent="0.3">
      <c r="B100" s="12" t="s">
        <v>8</v>
      </c>
      <c r="C100" s="13" t="s">
        <v>57</v>
      </c>
      <c r="D100" s="13"/>
      <c r="E100" s="13"/>
      <c r="F100" s="13"/>
      <c r="G100" s="13"/>
      <c r="H100" s="10"/>
      <c r="I100" s="10"/>
      <c r="J100" s="10"/>
      <c r="K100" s="10"/>
      <c r="L100" s="10"/>
      <c r="M100" s="10"/>
    </row>
    <row r="101" spans="2:13" x14ac:dyDescent="0.3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</row>
    <row r="102" spans="2:13" x14ac:dyDescent="0.3">
      <c r="B102" s="17" t="s">
        <v>22</v>
      </c>
      <c r="C102" s="17" t="s">
        <v>23</v>
      </c>
      <c r="D102" s="17" t="s">
        <v>24</v>
      </c>
      <c r="E102" s="17" t="s">
        <v>61</v>
      </c>
      <c r="F102" s="17" t="s">
        <v>62</v>
      </c>
      <c r="G102" s="10"/>
      <c r="H102" s="17" t="s">
        <v>63</v>
      </c>
      <c r="I102" s="17" t="s">
        <v>63</v>
      </c>
      <c r="J102" s="10"/>
      <c r="K102" s="12" t="s">
        <v>21</v>
      </c>
      <c r="L102" s="10"/>
      <c r="M102" s="10"/>
    </row>
    <row r="103" spans="2:13" ht="28.8" x14ac:dyDescent="0.3">
      <c r="B103" s="15" t="s">
        <v>135</v>
      </c>
      <c r="C103" s="16" t="s">
        <v>136</v>
      </c>
      <c r="D103" s="15" t="s">
        <v>31</v>
      </c>
      <c r="E103" s="15">
        <v>5</v>
      </c>
      <c r="F103" s="15"/>
      <c r="G103" s="10"/>
      <c r="H103" s="15">
        <f>IF(E103="","",IF(D103="Sì", 8-E103, E103))</f>
        <v>5</v>
      </c>
      <c r="I103" s="15" t="str">
        <f>IF(F103="","",IF(D103="Sì", 8-F103, F103))</f>
        <v/>
      </c>
      <c r="J103" s="10"/>
      <c r="K103" s="17" t="s">
        <v>66</v>
      </c>
      <c r="L103" s="15">
        <f>IFERROR(AVERAGEIF(H103:H107,"&lt;&gt;"),"")</f>
        <v>4.5999999999999996</v>
      </c>
      <c r="M103" s="15">
        <f>IFERROR(AVERAGEIF(I103:I107,"&lt;&gt;"),"")</f>
        <v>4</v>
      </c>
    </row>
    <row r="104" spans="2:13" x14ac:dyDescent="0.3">
      <c r="B104" s="15" t="s">
        <v>137</v>
      </c>
      <c r="C104" s="16" t="s">
        <v>138</v>
      </c>
      <c r="D104" s="15" t="s">
        <v>31</v>
      </c>
      <c r="E104" s="15">
        <v>5</v>
      </c>
      <c r="F104" s="15"/>
      <c r="G104" s="10"/>
      <c r="H104" s="15">
        <f>IF(E104="","",IF(D104="Sì", 8-E104, E104))</f>
        <v>5</v>
      </c>
      <c r="I104" s="15" t="str">
        <f t="shared" ref="I104:I106" si="9">IF(F104="","",IF(D104="Sì", 8-F104, F104))</f>
        <v/>
      </c>
      <c r="J104" s="10"/>
      <c r="K104" s="17" t="s">
        <v>69</v>
      </c>
      <c r="L104" s="15">
        <f>IF(L103="","",(L103-1)*100/6)</f>
        <v>59.999999999999993</v>
      </c>
      <c r="M104" s="15">
        <f>IF(M103="","",(M103-1)*100/6)</f>
        <v>50</v>
      </c>
    </row>
    <row r="105" spans="2:13" x14ac:dyDescent="0.3">
      <c r="B105" s="15" t="s">
        <v>139</v>
      </c>
      <c r="C105" s="16" t="s">
        <v>140</v>
      </c>
      <c r="D105" s="15" t="s">
        <v>52</v>
      </c>
      <c r="E105" s="15">
        <v>2</v>
      </c>
      <c r="F105" s="15"/>
      <c r="G105" s="10"/>
      <c r="H105" s="15">
        <f>IF(E105="","",IF(D105="Sì", 8-E105, E105))</f>
        <v>6</v>
      </c>
      <c r="I105" s="15" t="str">
        <f t="shared" si="9"/>
        <v/>
      </c>
      <c r="J105" s="10"/>
      <c r="K105" s="17" t="s">
        <v>72</v>
      </c>
      <c r="L105" s="15">
        <f>IFERROR(SUM(H103:H107),"")</f>
        <v>23</v>
      </c>
      <c r="M105" s="15">
        <f>IFERROR(SUM(I103:I107),"")</f>
        <v>4</v>
      </c>
    </row>
    <row r="106" spans="2:13" ht="28.8" x14ac:dyDescent="0.3">
      <c r="B106" s="15" t="s">
        <v>141</v>
      </c>
      <c r="C106" s="16" t="s">
        <v>142</v>
      </c>
      <c r="D106" s="15" t="s">
        <v>31</v>
      </c>
      <c r="E106" s="15">
        <v>3</v>
      </c>
      <c r="F106" s="15"/>
      <c r="G106" s="10"/>
      <c r="H106" s="15">
        <f>IF(E106="","",IF(D106="Sì", 8-E106, E106))</f>
        <v>3</v>
      </c>
      <c r="I106" s="15" t="str">
        <f t="shared" si="9"/>
        <v/>
      </c>
      <c r="J106" s="10"/>
      <c r="K106" s="10"/>
      <c r="L106" s="10"/>
      <c r="M106" s="10"/>
    </row>
    <row r="107" spans="2:13" ht="28.8" x14ac:dyDescent="0.3">
      <c r="B107" s="15" t="s">
        <v>143</v>
      </c>
      <c r="C107" s="16" t="s">
        <v>144</v>
      </c>
      <c r="D107" s="15" t="s">
        <v>31</v>
      </c>
      <c r="E107" s="15">
        <v>4</v>
      </c>
      <c r="F107" s="15">
        <v>4</v>
      </c>
      <c r="G107" s="10"/>
      <c r="H107" s="15">
        <f>IF(E107="","",IF(D107="Sì", 8-E107, E107))</f>
        <v>4</v>
      </c>
      <c r="I107" s="15">
        <f>IF(F107="","",IF(D107="Sì", 8-F107, F107))</f>
        <v>4</v>
      </c>
      <c r="J107" s="10"/>
      <c r="K107" s="10"/>
      <c r="L107" s="10"/>
      <c r="M107" s="10"/>
    </row>
    <row r="108" spans="2:13" x14ac:dyDescent="0.3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</row>
    <row r="109" spans="2:13" x14ac:dyDescent="0.3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</row>
    <row r="110" spans="2:13" ht="18" x14ac:dyDescent="0.3">
      <c r="B110" s="156" t="s">
        <v>145</v>
      </c>
      <c r="C110" s="156"/>
      <c r="D110" s="156"/>
      <c r="E110" s="156"/>
      <c r="F110" s="156"/>
      <c r="G110" s="156"/>
      <c r="H110" s="10"/>
      <c r="I110" s="10"/>
      <c r="J110" s="10"/>
      <c r="K110" s="10"/>
      <c r="L110" s="10"/>
      <c r="M110" s="10"/>
    </row>
    <row r="111" spans="2:13" x14ac:dyDescent="0.3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</row>
    <row r="112" spans="2:13" x14ac:dyDescent="0.3">
      <c r="B112" s="12" t="s">
        <v>8</v>
      </c>
      <c r="C112" s="18" t="s">
        <v>57</v>
      </c>
      <c r="D112" s="18"/>
      <c r="E112" s="18"/>
      <c r="F112" s="18"/>
      <c r="G112" s="18"/>
      <c r="H112" s="10"/>
      <c r="I112" s="10"/>
      <c r="J112" s="10"/>
      <c r="K112" s="10"/>
      <c r="L112" s="10"/>
      <c r="M112" s="10"/>
    </row>
    <row r="113" spans="2:13" x14ac:dyDescent="0.3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</row>
    <row r="114" spans="2:13" x14ac:dyDescent="0.3">
      <c r="B114" s="17" t="s">
        <v>22</v>
      </c>
      <c r="C114" s="17" t="s">
        <v>23</v>
      </c>
      <c r="D114" s="17" t="s">
        <v>24</v>
      </c>
      <c r="E114" s="17" t="s">
        <v>61</v>
      </c>
      <c r="F114" s="17" t="s">
        <v>62</v>
      </c>
      <c r="G114" s="10"/>
      <c r="H114" s="17" t="s">
        <v>63</v>
      </c>
      <c r="I114" s="17" t="s">
        <v>63</v>
      </c>
      <c r="J114" s="10"/>
      <c r="K114" s="12" t="s">
        <v>21</v>
      </c>
      <c r="L114" s="10"/>
      <c r="M114" s="10"/>
    </row>
    <row r="115" spans="2:13" ht="28.8" x14ac:dyDescent="0.3">
      <c r="B115" s="15" t="s">
        <v>146</v>
      </c>
      <c r="C115" s="16" t="s">
        <v>147</v>
      </c>
      <c r="D115" s="15" t="s">
        <v>52</v>
      </c>
      <c r="E115" s="15">
        <v>2</v>
      </c>
      <c r="F115" s="15">
        <v>2</v>
      </c>
      <c r="G115" s="10"/>
      <c r="H115" s="15">
        <f>IF(E115="","",IF(D115="Sì", 8-E115, E115))</f>
        <v>6</v>
      </c>
      <c r="I115" s="15">
        <f>IF(F115="","",IF(D115="Sì", 8-F115, F115))</f>
        <v>6</v>
      </c>
      <c r="J115" s="10"/>
      <c r="K115" s="17" t="s">
        <v>66</v>
      </c>
      <c r="L115" s="15">
        <f>IFERROR(AVERAGEIF(H115:H118,"&lt;&gt;"),"")</f>
        <v>5.75</v>
      </c>
      <c r="M115" s="15">
        <f>IFERROR(AVERAGEIF(I115:I118,"&lt;&gt;"),"")</f>
        <v>6.5</v>
      </c>
    </row>
    <row r="116" spans="2:13" x14ac:dyDescent="0.3">
      <c r="B116" s="15" t="s">
        <v>148</v>
      </c>
      <c r="C116" s="16" t="s">
        <v>149</v>
      </c>
      <c r="D116" s="15" t="s">
        <v>31</v>
      </c>
      <c r="E116" s="15">
        <v>6</v>
      </c>
      <c r="F116" s="15">
        <v>7</v>
      </c>
      <c r="G116" s="10"/>
      <c r="H116" s="15">
        <f>IF(E116="","",IF(D116="Sì", 8-E116, E116))</f>
        <v>6</v>
      </c>
      <c r="I116" s="15">
        <f t="shared" ref="I116:I117" si="10">IF(F116="","",IF(D116="Sì", 8-F116, F116))</f>
        <v>7</v>
      </c>
      <c r="J116" s="10"/>
      <c r="K116" s="17" t="s">
        <v>69</v>
      </c>
      <c r="L116" s="15">
        <f>IF(L115="","",(L115-1)*100/6)</f>
        <v>79.166666666666671</v>
      </c>
      <c r="M116" s="15">
        <f>IF(M115="","",(M115-1)*100/6)</f>
        <v>91.666666666666671</v>
      </c>
    </row>
    <row r="117" spans="2:13" ht="28.8" x14ac:dyDescent="0.3">
      <c r="B117" s="15" t="s">
        <v>150</v>
      </c>
      <c r="C117" s="16" t="s">
        <v>151</v>
      </c>
      <c r="D117" s="15" t="s">
        <v>52</v>
      </c>
      <c r="E117" s="15">
        <v>2</v>
      </c>
      <c r="F117" s="15">
        <v>2</v>
      </c>
      <c r="G117" s="10"/>
      <c r="H117" s="15">
        <f>IF(E117="","",IF(D117="Sì", 8-E117, E117))</f>
        <v>6</v>
      </c>
      <c r="I117" s="15">
        <f t="shared" si="10"/>
        <v>6</v>
      </c>
      <c r="J117" s="10"/>
      <c r="K117" s="17" t="s">
        <v>72</v>
      </c>
      <c r="L117" s="15">
        <f>IFERROR(SUM(H115:H118),"")</f>
        <v>23</v>
      </c>
      <c r="M117" s="15">
        <f>IFERROR(SUM(I115:I118),"")</f>
        <v>26</v>
      </c>
    </row>
    <row r="118" spans="2:13" ht="28.8" x14ac:dyDescent="0.3">
      <c r="B118" s="15" t="s">
        <v>152</v>
      </c>
      <c r="C118" s="16" t="s">
        <v>153</v>
      </c>
      <c r="D118" s="15" t="s">
        <v>31</v>
      </c>
      <c r="E118" s="15">
        <v>5</v>
      </c>
      <c r="F118" s="15">
        <v>7</v>
      </c>
      <c r="G118" s="10"/>
      <c r="H118" s="15">
        <f>IF(E118="","",IF(D118="Sì", 8-E118, E118))</f>
        <v>5</v>
      </c>
      <c r="I118" s="15">
        <f>IF(F118="","",IF(D118="Sì", 8-F118, F118))</f>
        <v>7</v>
      </c>
      <c r="J118" s="10"/>
      <c r="K118" s="10"/>
      <c r="L118" s="10"/>
      <c r="M118" s="10"/>
    </row>
    <row r="119" spans="2:13" x14ac:dyDescent="0.3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</row>
    <row r="120" spans="2:13" x14ac:dyDescent="0.3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</row>
    <row r="121" spans="2:13" ht="18" x14ac:dyDescent="0.3">
      <c r="B121" s="156" t="s">
        <v>154</v>
      </c>
      <c r="C121" s="156"/>
      <c r="D121" s="156"/>
      <c r="E121" s="156"/>
      <c r="F121" s="156"/>
      <c r="G121" s="156"/>
      <c r="H121" s="10"/>
      <c r="I121" s="10"/>
      <c r="J121" s="10"/>
      <c r="K121" s="10"/>
      <c r="L121" s="10"/>
      <c r="M121" s="10"/>
    </row>
    <row r="122" spans="2:13" x14ac:dyDescent="0.3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</row>
    <row r="123" spans="2:13" x14ac:dyDescent="0.3">
      <c r="B123" s="12" t="s">
        <v>8</v>
      </c>
      <c r="C123" s="13" t="s">
        <v>57</v>
      </c>
      <c r="D123" s="13"/>
      <c r="E123" s="13"/>
      <c r="F123" s="13"/>
      <c r="G123" s="13"/>
      <c r="H123" s="10"/>
      <c r="I123" s="10"/>
      <c r="J123" s="10"/>
      <c r="K123" s="10"/>
      <c r="L123" s="10"/>
      <c r="M123" s="10"/>
    </row>
    <row r="124" spans="2:13" x14ac:dyDescent="0.3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</row>
    <row r="125" spans="2:13" x14ac:dyDescent="0.3">
      <c r="B125" s="17" t="s">
        <v>22</v>
      </c>
      <c r="C125" s="17" t="s">
        <v>23</v>
      </c>
      <c r="D125" s="17" t="s">
        <v>24</v>
      </c>
      <c r="E125" s="17" t="s">
        <v>61</v>
      </c>
      <c r="F125" s="17" t="s">
        <v>62</v>
      </c>
      <c r="G125" s="10"/>
      <c r="H125" s="17" t="s">
        <v>63</v>
      </c>
      <c r="I125" s="17" t="s">
        <v>63</v>
      </c>
      <c r="J125" s="10"/>
      <c r="K125" s="12" t="s">
        <v>21</v>
      </c>
      <c r="L125" s="10"/>
      <c r="M125" s="10"/>
    </row>
    <row r="126" spans="2:13" x14ac:dyDescent="0.3">
      <c r="B126" s="15" t="s">
        <v>155</v>
      </c>
      <c r="C126" s="16" t="s">
        <v>156</v>
      </c>
      <c r="D126" s="15" t="s">
        <v>31</v>
      </c>
      <c r="E126" s="15">
        <v>2</v>
      </c>
      <c r="F126" s="15"/>
      <c r="G126" s="10"/>
      <c r="H126" s="15">
        <f>IF(E126="","",IF(D126="Sì", 8-E126, E126))</f>
        <v>2</v>
      </c>
      <c r="I126" s="15" t="str">
        <f>IF(F126="","",IF(D126="Sì", 8-F126, F126))</f>
        <v/>
      </c>
      <c r="J126" s="10"/>
      <c r="K126" s="17" t="s">
        <v>66</v>
      </c>
      <c r="L126" s="15">
        <f>IFERROR(AVERAGEIF(H126:H128,"&lt;&gt;"),"")</f>
        <v>4.666666666666667</v>
      </c>
      <c r="M126" s="15" t="str">
        <f>IFERROR(AVERAGEIF(I126:I128,"&lt;&gt;"),"")</f>
        <v/>
      </c>
    </row>
    <row r="127" spans="2:13" ht="28.8" x14ac:dyDescent="0.3">
      <c r="B127" s="15" t="s">
        <v>157</v>
      </c>
      <c r="C127" s="16" t="s">
        <v>158</v>
      </c>
      <c r="D127" s="15" t="s">
        <v>52</v>
      </c>
      <c r="E127" s="15">
        <v>1</v>
      </c>
      <c r="F127" s="15"/>
      <c r="G127" s="10"/>
      <c r="H127" s="15">
        <f>IF(E127="","",IF(D127="Sì", 8-E127, E127))</f>
        <v>7</v>
      </c>
      <c r="I127" s="15" t="str">
        <f t="shared" ref="I127:I128" si="11">IF(F127="","",IF(D127="Sì", 8-F127, F127))</f>
        <v/>
      </c>
      <c r="J127" s="10"/>
      <c r="K127" s="17" t="s">
        <v>69</v>
      </c>
      <c r="L127" s="15">
        <f>IF(L126="","",(L126-1)*100/6)</f>
        <v>61.111111111111114</v>
      </c>
      <c r="M127" s="15" t="str">
        <f>IF(M126="","",(M126-1)*100/6)</f>
        <v/>
      </c>
    </row>
    <row r="128" spans="2:13" ht="28.8" x14ac:dyDescent="0.3">
      <c r="B128" s="15" t="s">
        <v>159</v>
      </c>
      <c r="C128" s="16" t="s">
        <v>160</v>
      </c>
      <c r="D128" s="15" t="s">
        <v>31</v>
      </c>
      <c r="E128" s="15">
        <v>5</v>
      </c>
      <c r="F128" s="15"/>
      <c r="G128" s="10"/>
      <c r="H128" s="15">
        <f>IF(E128="","",IF(D128="Sì", 8-E128, E128))</f>
        <v>5</v>
      </c>
      <c r="I128" s="15" t="str">
        <f t="shared" si="11"/>
        <v/>
      </c>
      <c r="J128" s="10"/>
      <c r="K128" s="17" t="s">
        <v>72</v>
      </c>
      <c r="L128" s="15">
        <f>IFERROR(SUM(H126:H128),"")</f>
        <v>14</v>
      </c>
      <c r="M128" s="15">
        <f>IFERROR(SUM(I126:I128),"")</f>
        <v>0</v>
      </c>
    </row>
    <row r="129" spans="2:13" x14ac:dyDescent="0.3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</row>
    <row r="130" spans="2:13" x14ac:dyDescent="0.3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</row>
    <row r="131" spans="2:13" ht="18" x14ac:dyDescent="0.3">
      <c r="B131" s="156" t="s">
        <v>161</v>
      </c>
      <c r="C131" s="156"/>
      <c r="D131" s="156"/>
      <c r="E131" s="156"/>
      <c r="F131" s="156"/>
      <c r="G131" s="156"/>
      <c r="H131" s="10"/>
      <c r="I131" s="10"/>
      <c r="J131" s="10"/>
      <c r="K131" s="10"/>
      <c r="L131" s="10"/>
      <c r="M131" s="10"/>
    </row>
    <row r="132" spans="2:13" x14ac:dyDescent="0.3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</row>
    <row r="133" spans="2:13" x14ac:dyDescent="0.3">
      <c r="B133" s="12" t="s">
        <v>8</v>
      </c>
      <c r="C133" s="160" t="s">
        <v>162</v>
      </c>
      <c r="D133" s="160"/>
      <c r="E133" s="160"/>
      <c r="F133" s="160"/>
      <c r="G133" s="160"/>
      <c r="H133" s="10"/>
      <c r="I133" s="10"/>
      <c r="J133" s="10"/>
      <c r="K133" s="10"/>
      <c r="L133" s="10"/>
      <c r="M133" s="10"/>
    </row>
    <row r="134" spans="2:13" x14ac:dyDescent="0.3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</row>
    <row r="135" spans="2:13" x14ac:dyDescent="0.3">
      <c r="B135" s="17" t="s">
        <v>22</v>
      </c>
      <c r="C135" s="17" t="s">
        <v>23</v>
      </c>
      <c r="D135" s="17" t="s">
        <v>24</v>
      </c>
      <c r="E135" s="17" t="s">
        <v>61</v>
      </c>
      <c r="F135" s="17" t="s">
        <v>62</v>
      </c>
      <c r="G135" s="10"/>
      <c r="H135" s="17" t="s">
        <v>63</v>
      </c>
      <c r="I135" s="17" t="s">
        <v>63</v>
      </c>
      <c r="J135" s="10"/>
      <c r="K135" s="12" t="s">
        <v>21</v>
      </c>
      <c r="L135" s="10"/>
      <c r="M135" s="10"/>
    </row>
    <row r="136" spans="2:13" x14ac:dyDescent="0.3">
      <c r="B136" s="15" t="s">
        <v>163</v>
      </c>
      <c r="C136" s="16" t="s">
        <v>164</v>
      </c>
      <c r="D136" s="15" t="s">
        <v>31</v>
      </c>
      <c r="E136" s="15">
        <v>3</v>
      </c>
      <c r="F136" s="15">
        <v>4</v>
      </c>
      <c r="G136" s="10"/>
      <c r="H136" s="15">
        <f>IF(E136="","",IF(D136="Sì", 8-E136, E136))</f>
        <v>3</v>
      </c>
      <c r="I136" s="15">
        <f>IF(F136="","",IF(D136="Sì", 8-F136, F136))</f>
        <v>4</v>
      </c>
      <c r="J136" s="10"/>
      <c r="K136" s="17" t="s">
        <v>66</v>
      </c>
      <c r="L136" s="15">
        <f>IFERROR(AVERAGEIF(H136:H137,"&lt;&gt;"),"")</f>
        <v>2.5</v>
      </c>
      <c r="M136" s="15">
        <f>IFERROR(AVERAGEIF(I136:I137,"&lt;&gt;"),"")</f>
        <v>3.5</v>
      </c>
    </row>
    <row r="137" spans="2:13" x14ac:dyDescent="0.3">
      <c r="B137" s="15" t="s">
        <v>165</v>
      </c>
      <c r="C137" s="16" t="s">
        <v>166</v>
      </c>
      <c r="D137" s="15" t="s">
        <v>31</v>
      </c>
      <c r="E137" s="15">
        <v>2</v>
      </c>
      <c r="F137" s="15">
        <v>3</v>
      </c>
      <c r="G137" s="10"/>
      <c r="H137" s="15">
        <f>IF(E137="","",IF(D137="Sì", 8-E137, E137))</f>
        <v>2</v>
      </c>
      <c r="I137" s="15">
        <f>IF(F137="","",IF(D137="Sì", 8-F137, F137))</f>
        <v>3</v>
      </c>
      <c r="J137" s="10"/>
      <c r="K137" s="17" t="s">
        <v>69</v>
      </c>
      <c r="L137" s="15">
        <f>IF(L136="","",(L136-1)*100/6)</f>
        <v>25</v>
      </c>
      <c r="M137" s="15">
        <f>IF(M136="","",(M136-1)*100/6)</f>
        <v>41.666666666666664</v>
      </c>
    </row>
    <row r="138" spans="2:13" x14ac:dyDescent="0.3">
      <c r="B138" s="10"/>
      <c r="C138" s="10"/>
      <c r="D138" s="10"/>
      <c r="E138" s="10"/>
      <c r="F138" s="10"/>
      <c r="G138" s="10"/>
      <c r="H138" s="10"/>
      <c r="I138" s="10"/>
      <c r="J138" s="10"/>
      <c r="K138" s="17" t="s">
        <v>72</v>
      </c>
      <c r="L138" s="15">
        <f>IFERROR(SUM(H136:H137),"")</f>
        <v>5</v>
      </c>
      <c r="M138" s="15">
        <f>IFERROR(SUM(I136:I137),"")</f>
        <v>7</v>
      </c>
    </row>
    <row r="139" spans="2:13" x14ac:dyDescent="0.3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</row>
    <row r="140" spans="2:13" ht="18" x14ac:dyDescent="0.3">
      <c r="B140" s="156" t="s">
        <v>167</v>
      </c>
      <c r="C140" s="156"/>
      <c r="D140" s="156"/>
      <c r="E140" s="156"/>
      <c r="F140" s="156"/>
      <c r="G140" s="156"/>
      <c r="H140" s="10"/>
      <c r="I140" s="10"/>
      <c r="J140" s="10"/>
      <c r="K140" s="10"/>
      <c r="L140" s="10"/>
      <c r="M140" s="10"/>
    </row>
    <row r="141" spans="2:13" x14ac:dyDescent="0.3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</row>
    <row r="142" spans="2:13" x14ac:dyDescent="0.3">
      <c r="B142" s="12" t="s">
        <v>8</v>
      </c>
      <c r="C142" s="160" t="s">
        <v>168</v>
      </c>
      <c r="D142" s="160"/>
      <c r="E142" s="160"/>
      <c r="F142" s="160"/>
      <c r="G142" s="160"/>
      <c r="H142" s="10"/>
      <c r="I142" s="10"/>
      <c r="J142" s="10"/>
      <c r="K142" s="10"/>
      <c r="L142" s="10"/>
      <c r="M142" s="10"/>
    </row>
    <row r="143" spans="2:13" x14ac:dyDescent="0.3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</row>
    <row r="144" spans="2:13" x14ac:dyDescent="0.3">
      <c r="B144" s="17" t="s">
        <v>22</v>
      </c>
      <c r="C144" s="17" t="s">
        <v>23</v>
      </c>
      <c r="D144" s="17" t="s">
        <v>24</v>
      </c>
      <c r="E144" s="17" t="s">
        <v>61</v>
      </c>
      <c r="F144" s="17" t="s">
        <v>62</v>
      </c>
      <c r="G144" s="10"/>
      <c r="H144" s="17" t="s">
        <v>63</v>
      </c>
      <c r="I144" s="17" t="s">
        <v>63</v>
      </c>
      <c r="J144" s="10"/>
      <c r="K144" s="12" t="s">
        <v>21</v>
      </c>
      <c r="L144" s="10"/>
      <c r="M144" s="10"/>
    </row>
    <row r="145" spans="2:13" x14ac:dyDescent="0.3">
      <c r="B145" s="15" t="s">
        <v>169</v>
      </c>
      <c r="C145" s="16" t="s">
        <v>170</v>
      </c>
      <c r="D145" s="15" t="s">
        <v>31</v>
      </c>
      <c r="E145" s="15">
        <v>0</v>
      </c>
      <c r="F145" s="15">
        <v>0</v>
      </c>
      <c r="G145" s="10"/>
      <c r="H145" s="15">
        <f t="shared" ref="H145:I150" si="12">IF(E145="","",E145)</f>
        <v>0</v>
      </c>
      <c r="I145" s="15">
        <f t="shared" si="12"/>
        <v>0</v>
      </c>
      <c r="J145" s="10"/>
      <c r="K145" s="17" t="s">
        <v>66</v>
      </c>
      <c r="L145" s="15">
        <f>IFERROR(AVERAGEIF(H145:H150,"&lt;&gt;"),"")</f>
        <v>0</v>
      </c>
      <c r="M145" s="15">
        <f>IFERROR(AVERAGEIF(I145:I150,"&lt;&gt;"),"")</f>
        <v>0</v>
      </c>
    </row>
    <row r="146" spans="2:13" x14ac:dyDescent="0.3">
      <c r="B146" s="15" t="s">
        <v>171</v>
      </c>
      <c r="C146" s="16" t="s">
        <v>172</v>
      </c>
      <c r="D146" s="15" t="s">
        <v>31</v>
      </c>
      <c r="E146" s="15">
        <v>0</v>
      </c>
      <c r="F146" s="15">
        <v>0</v>
      </c>
      <c r="G146" s="10"/>
      <c r="H146" s="15">
        <f t="shared" si="12"/>
        <v>0</v>
      </c>
      <c r="I146" s="15">
        <f t="shared" si="12"/>
        <v>0</v>
      </c>
      <c r="J146" s="10"/>
      <c r="K146" s="17" t="s">
        <v>173</v>
      </c>
      <c r="L146" s="15">
        <f>IF(L145="","",L145*100/3)</f>
        <v>0</v>
      </c>
      <c r="M146" s="15">
        <f>IF(M145="","",M145*100/3)</f>
        <v>0</v>
      </c>
    </row>
    <row r="147" spans="2:13" x14ac:dyDescent="0.3">
      <c r="B147" s="15" t="s">
        <v>174</v>
      </c>
      <c r="C147" s="16" t="s">
        <v>175</v>
      </c>
      <c r="D147" s="15" t="s">
        <v>31</v>
      </c>
      <c r="E147" s="15">
        <v>0</v>
      </c>
      <c r="F147" s="15">
        <v>0</v>
      </c>
      <c r="G147" s="10"/>
      <c r="H147" s="15">
        <f t="shared" si="12"/>
        <v>0</v>
      </c>
      <c r="I147" s="15">
        <f t="shared" si="12"/>
        <v>0</v>
      </c>
      <c r="J147" s="10"/>
      <c r="K147" s="10"/>
      <c r="L147" s="10"/>
      <c r="M147" s="10"/>
    </row>
    <row r="148" spans="2:13" x14ac:dyDescent="0.3">
      <c r="B148" s="15" t="s">
        <v>176</v>
      </c>
      <c r="C148" s="16" t="s">
        <v>177</v>
      </c>
      <c r="D148" s="15" t="s">
        <v>31</v>
      </c>
      <c r="E148" s="15">
        <v>0</v>
      </c>
      <c r="F148" s="15">
        <v>0</v>
      </c>
      <c r="G148" s="10"/>
      <c r="H148" s="15">
        <f t="shared" si="12"/>
        <v>0</v>
      </c>
      <c r="I148" s="15">
        <f t="shared" si="12"/>
        <v>0</v>
      </c>
      <c r="J148" s="10"/>
      <c r="K148" s="10"/>
      <c r="L148" s="10"/>
      <c r="M148" s="10"/>
    </row>
    <row r="149" spans="2:13" x14ac:dyDescent="0.3">
      <c r="B149" s="15" t="s">
        <v>178</v>
      </c>
      <c r="C149" s="16" t="s">
        <v>179</v>
      </c>
      <c r="D149" s="15" t="s">
        <v>31</v>
      </c>
      <c r="E149" s="15">
        <v>0</v>
      </c>
      <c r="F149" s="15">
        <v>0</v>
      </c>
      <c r="G149" s="10"/>
      <c r="H149" s="15">
        <f t="shared" si="12"/>
        <v>0</v>
      </c>
      <c r="I149" s="15">
        <f t="shared" si="12"/>
        <v>0</v>
      </c>
      <c r="J149" s="10"/>
      <c r="K149" s="10"/>
      <c r="L149" s="10"/>
      <c r="M149" s="10"/>
    </row>
    <row r="150" spans="2:13" x14ac:dyDescent="0.3">
      <c r="B150" s="15" t="s">
        <v>180</v>
      </c>
      <c r="C150" s="16" t="s">
        <v>181</v>
      </c>
      <c r="D150" s="15" t="s">
        <v>31</v>
      </c>
      <c r="E150" s="15">
        <v>0</v>
      </c>
      <c r="F150" s="15">
        <v>0</v>
      </c>
      <c r="G150" s="10"/>
      <c r="H150" s="15">
        <f t="shared" si="12"/>
        <v>0</v>
      </c>
      <c r="I150" s="15">
        <f t="shared" si="12"/>
        <v>0</v>
      </c>
      <c r="J150" s="10"/>
      <c r="K150" s="10"/>
      <c r="L150" s="10"/>
      <c r="M150" s="10"/>
    </row>
    <row r="151" spans="2:13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</row>
    <row r="152" spans="2:13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</row>
    <row r="153" spans="2:13" ht="18" x14ac:dyDescent="0.3">
      <c r="B153" s="156" t="s">
        <v>182</v>
      </c>
      <c r="C153" s="156"/>
      <c r="D153" s="156"/>
      <c r="E153" s="156"/>
      <c r="F153" s="156"/>
      <c r="G153" s="156"/>
      <c r="H153" s="10"/>
      <c r="I153" s="10"/>
      <c r="J153" s="10"/>
      <c r="K153" s="10"/>
      <c r="L153" s="10"/>
      <c r="M153" s="10"/>
    </row>
    <row r="154" spans="2:13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</row>
    <row r="155" spans="2:13" x14ac:dyDescent="0.3">
      <c r="B155" s="12" t="s">
        <v>8</v>
      </c>
      <c r="C155" s="160" t="s">
        <v>183</v>
      </c>
      <c r="D155" s="160"/>
      <c r="E155" s="160"/>
      <c r="F155" s="160"/>
      <c r="G155" s="160"/>
      <c r="H155" s="10"/>
      <c r="I155" s="10"/>
      <c r="J155" s="10"/>
      <c r="K155" s="10"/>
      <c r="L155" s="10"/>
      <c r="M155" s="10"/>
    </row>
    <row r="156" spans="2:13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</row>
    <row r="157" spans="2:13" x14ac:dyDescent="0.3">
      <c r="B157" s="17" t="s">
        <v>22</v>
      </c>
      <c r="C157" s="17" t="s">
        <v>23</v>
      </c>
      <c r="D157" s="17" t="s">
        <v>24</v>
      </c>
      <c r="E157" s="17" t="s">
        <v>61</v>
      </c>
      <c r="F157" s="17" t="s">
        <v>62</v>
      </c>
      <c r="G157" s="10"/>
      <c r="H157" s="17" t="s">
        <v>63</v>
      </c>
      <c r="I157" s="17" t="s">
        <v>63</v>
      </c>
      <c r="J157" s="10"/>
      <c r="K157" s="12" t="s">
        <v>21</v>
      </c>
      <c r="L157" s="10"/>
      <c r="M157" s="10"/>
    </row>
    <row r="158" spans="2:13" ht="28.8" x14ac:dyDescent="0.3">
      <c r="B158" s="15" t="s">
        <v>184</v>
      </c>
      <c r="C158" s="16" t="s">
        <v>185</v>
      </c>
      <c r="D158" s="15" t="s">
        <v>31</v>
      </c>
      <c r="E158" s="15">
        <v>2</v>
      </c>
      <c r="F158" s="15">
        <v>2</v>
      </c>
      <c r="G158" s="10"/>
      <c r="H158" s="15">
        <f t="shared" ref="H158:H167" si="13">IF(E158="","",IF(D158="Sì", 5-E158, E158-1))</f>
        <v>1</v>
      </c>
      <c r="I158" s="15">
        <f>IF(F158="","",IF(D158="Sì", 5-F158, F158-1))</f>
        <v>1</v>
      </c>
      <c r="J158" s="10"/>
      <c r="K158" s="17" t="s">
        <v>186</v>
      </c>
      <c r="L158" s="15">
        <f>IFERROR(SUM(H158:H167),"")</f>
        <v>31</v>
      </c>
      <c r="M158" s="15">
        <f>IFERROR(SUM(I158:I167),"")</f>
        <v>34</v>
      </c>
    </row>
    <row r="159" spans="2:13" x14ac:dyDescent="0.3">
      <c r="B159" s="15" t="s">
        <v>187</v>
      </c>
      <c r="C159" s="16" t="s">
        <v>188</v>
      </c>
      <c r="D159" s="15" t="s">
        <v>52</v>
      </c>
      <c r="E159" s="15">
        <v>2</v>
      </c>
      <c r="F159" s="15">
        <v>1</v>
      </c>
      <c r="G159" s="10"/>
      <c r="H159" s="15">
        <f t="shared" si="13"/>
        <v>3</v>
      </c>
      <c r="I159" s="15">
        <f t="shared" ref="I159:I167" si="14">IF(F159="","",IF(D159="Sì", 5-F159, F159-1))</f>
        <v>4</v>
      </c>
      <c r="J159" s="10"/>
      <c r="K159" s="17" t="s">
        <v>189</v>
      </c>
      <c r="L159" s="15">
        <f>IF(L158="","", L158*2.5 )</f>
        <v>77.5</v>
      </c>
      <c r="M159" s="15">
        <f>IF(M158="","", M158*2.5 )</f>
        <v>85</v>
      </c>
    </row>
    <row r="160" spans="2:13" x14ac:dyDescent="0.3">
      <c r="B160" s="15" t="s">
        <v>190</v>
      </c>
      <c r="C160" s="16" t="s">
        <v>191</v>
      </c>
      <c r="D160" s="15" t="s">
        <v>31</v>
      </c>
      <c r="E160" s="15">
        <v>5</v>
      </c>
      <c r="F160" s="15">
        <v>5</v>
      </c>
      <c r="G160" s="10"/>
      <c r="H160" s="15">
        <f t="shared" si="13"/>
        <v>4</v>
      </c>
      <c r="I160" s="15">
        <f t="shared" si="14"/>
        <v>4</v>
      </c>
      <c r="J160" s="10"/>
      <c r="K160" s="10"/>
      <c r="L160" s="10"/>
      <c r="M160" s="10"/>
    </row>
    <row r="161" spans="2:13" ht="28.8" x14ac:dyDescent="0.3">
      <c r="B161" s="15" t="s">
        <v>192</v>
      </c>
      <c r="C161" s="16" t="s">
        <v>193</v>
      </c>
      <c r="D161" s="15" t="s">
        <v>52</v>
      </c>
      <c r="E161" s="15">
        <v>3</v>
      </c>
      <c r="F161" s="15">
        <v>2</v>
      </c>
      <c r="G161" s="10"/>
      <c r="H161" s="15">
        <f t="shared" si="13"/>
        <v>2</v>
      </c>
      <c r="I161" s="15">
        <f t="shared" si="14"/>
        <v>3</v>
      </c>
      <c r="J161" s="10"/>
      <c r="K161" s="10"/>
      <c r="L161" s="10"/>
      <c r="M161" s="10"/>
    </row>
    <row r="162" spans="2:13" x14ac:dyDescent="0.3">
      <c r="B162" s="15" t="s">
        <v>194</v>
      </c>
      <c r="C162" s="16" t="s">
        <v>195</v>
      </c>
      <c r="D162" s="15" t="s">
        <v>31</v>
      </c>
      <c r="E162" s="15">
        <v>4</v>
      </c>
      <c r="F162" s="15">
        <v>5</v>
      </c>
      <c r="G162" s="10"/>
      <c r="H162" s="15">
        <f t="shared" si="13"/>
        <v>3</v>
      </c>
      <c r="I162" s="15">
        <f t="shared" si="14"/>
        <v>4</v>
      </c>
      <c r="J162" s="10"/>
      <c r="K162" s="10"/>
      <c r="L162" s="10"/>
      <c r="M162" s="10"/>
    </row>
    <row r="163" spans="2:13" x14ac:dyDescent="0.3">
      <c r="B163" s="15" t="s">
        <v>196</v>
      </c>
      <c r="C163" s="16" t="s">
        <v>197</v>
      </c>
      <c r="D163" s="15" t="s">
        <v>52</v>
      </c>
      <c r="E163" s="15">
        <v>1</v>
      </c>
      <c r="F163" s="15">
        <v>1</v>
      </c>
      <c r="G163" s="10"/>
      <c r="H163" s="15">
        <f t="shared" si="13"/>
        <v>4</v>
      </c>
      <c r="I163" s="15">
        <f t="shared" si="14"/>
        <v>4</v>
      </c>
      <c r="J163" s="10"/>
      <c r="K163" s="10"/>
      <c r="L163" s="10"/>
      <c r="M163" s="10"/>
    </row>
    <row r="164" spans="2:13" ht="43.2" x14ac:dyDescent="0.3">
      <c r="B164" s="15" t="s">
        <v>198</v>
      </c>
      <c r="C164" s="16" t="s">
        <v>199</v>
      </c>
      <c r="D164" s="15" t="s">
        <v>31</v>
      </c>
      <c r="E164" s="15">
        <v>4</v>
      </c>
      <c r="F164" s="15">
        <v>3</v>
      </c>
      <c r="G164" s="10"/>
      <c r="H164" s="15">
        <f t="shared" si="13"/>
        <v>3</v>
      </c>
      <c r="I164" s="15">
        <f t="shared" si="14"/>
        <v>2</v>
      </c>
      <c r="J164" s="10"/>
      <c r="K164" s="10"/>
      <c r="L164" s="10"/>
      <c r="M164" s="10"/>
    </row>
    <row r="165" spans="2:13" x14ac:dyDescent="0.3">
      <c r="B165" s="15" t="s">
        <v>200</v>
      </c>
      <c r="C165" s="16" t="s">
        <v>201</v>
      </c>
      <c r="D165" s="15" t="s">
        <v>52</v>
      </c>
      <c r="E165" s="15">
        <v>2</v>
      </c>
      <c r="F165" s="15">
        <v>1</v>
      </c>
      <c r="G165" s="10"/>
      <c r="H165" s="15">
        <f t="shared" si="13"/>
        <v>3</v>
      </c>
      <c r="I165" s="15">
        <f t="shared" si="14"/>
        <v>4</v>
      </c>
      <c r="J165" s="10"/>
      <c r="K165" s="10"/>
      <c r="L165" s="10"/>
      <c r="M165" s="10"/>
    </row>
    <row r="166" spans="2:13" ht="28.8" x14ac:dyDescent="0.3">
      <c r="B166" s="15" t="s">
        <v>202</v>
      </c>
      <c r="C166" s="16" t="s">
        <v>203</v>
      </c>
      <c r="D166" s="15" t="s">
        <v>31</v>
      </c>
      <c r="E166" s="15">
        <v>5</v>
      </c>
      <c r="F166" s="15">
        <v>5</v>
      </c>
      <c r="G166" s="10"/>
      <c r="H166" s="15">
        <f t="shared" si="13"/>
        <v>4</v>
      </c>
      <c r="I166" s="15">
        <f t="shared" si="14"/>
        <v>4</v>
      </c>
      <c r="J166" s="10"/>
      <c r="K166" s="10"/>
      <c r="L166" s="10"/>
      <c r="M166" s="10"/>
    </row>
    <row r="167" spans="2:13" ht="28.8" x14ac:dyDescent="0.3">
      <c r="B167" s="15" t="s">
        <v>204</v>
      </c>
      <c r="C167" s="16" t="s">
        <v>205</v>
      </c>
      <c r="D167" s="15" t="s">
        <v>52</v>
      </c>
      <c r="E167" s="15">
        <v>1</v>
      </c>
      <c r="F167" s="15">
        <v>1</v>
      </c>
      <c r="G167" s="10"/>
      <c r="H167" s="15">
        <f t="shared" si="13"/>
        <v>4</v>
      </c>
      <c r="I167" s="15">
        <f t="shared" si="14"/>
        <v>4</v>
      </c>
      <c r="J167" s="10"/>
      <c r="K167" s="10"/>
      <c r="L167" s="10"/>
      <c r="M167" s="10"/>
    </row>
    <row r="168" spans="2:13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</row>
    <row r="169" spans="2:13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</row>
    <row r="171" spans="2:13" ht="18" x14ac:dyDescent="0.3">
      <c r="B171" s="1" t="s">
        <v>206</v>
      </c>
      <c r="K171" s="161"/>
      <c r="L171" s="162"/>
      <c r="M171" s="163"/>
    </row>
    <row r="172" spans="2:13" x14ac:dyDescent="0.3">
      <c r="K172" s="17"/>
      <c r="L172" s="165"/>
      <c r="M172" s="166"/>
    </row>
    <row r="173" spans="2:13" ht="18" x14ac:dyDescent="0.3">
      <c r="B173" s="21" t="s">
        <v>208</v>
      </c>
      <c r="C173" s="21"/>
      <c r="D173" s="21"/>
      <c r="E173" s="21"/>
      <c r="F173" s="21"/>
    </row>
    <row r="174" spans="2:13" x14ac:dyDescent="0.3">
      <c r="B174" s="22"/>
      <c r="C174" s="22"/>
      <c r="D174" s="22"/>
      <c r="E174" s="22"/>
      <c r="F174" s="22"/>
    </row>
    <row r="175" spans="2:13" x14ac:dyDescent="0.3">
      <c r="B175" s="23" t="s">
        <v>209</v>
      </c>
      <c r="C175" s="22"/>
      <c r="D175" s="22"/>
      <c r="E175" s="23" t="s">
        <v>21</v>
      </c>
      <c r="F175" s="22"/>
    </row>
    <row r="176" spans="2:13" x14ac:dyDescent="0.3">
      <c r="B176" s="24" t="s">
        <v>210</v>
      </c>
      <c r="C176" s="25" t="s">
        <v>211</v>
      </c>
      <c r="D176" s="22"/>
      <c r="E176" s="24" t="s">
        <v>212</v>
      </c>
      <c r="F176" s="25">
        <f>COUNTIF(E183:E187,1)</f>
        <v>1</v>
      </c>
    </row>
    <row r="177" spans="2:6" x14ac:dyDescent="0.3">
      <c r="B177" s="24" t="s">
        <v>213</v>
      </c>
      <c r="C177" s="25" t="s">
        <v>214</v>
      </c>
      <c r="D177" s="22"/>
      <c r="E177" s="24" t="s">
        <v>215</v>
      </c>
      <c r="F177" s="25">
        <f>COUNTIF(E183:E187,2)</f>
        <v>4</v>
      </c>
    </row>
    <row r="178" spans="2:6" x14ac:dyDescent="0.3">
      <c r="B178" s="22"/>
      <c r="C178" s="22"/>
      <c r="D178" s="22"/>
      <c r="E178" s="24" t="s">
        <v>216</v>
      </c>
      <c r="F178" s="25">
        <f>IFERROR(F177/(F176+F175),"")</f>
        <v>4</v>
      </c>
    </row>
    <row r="179" spans="2:6" x14ac:dyDescent="0.3">
      <c r="B179" s="22"/>
      <c r="C179" s="22"/>
      <c r="D179" s="22"/>
      <c r="E179" s="22"/>
      <c r="F179" s="22"/>
    </row>
    <row r="180" spans="2:6" x14ac:dyDescent="0.3">
      <c r="B180" s="23" t="s">
        <v>8</v>
      </c>
      <c r="C180" s="26" t="s">
        <v>217</v>
      </c>
      <c r="D180" s="26"/>
      <c r="E180" s="26"/>
      <c r="F180" s="26"/>
    </row>
    <row r="181" spans="2:6" x14ac:dyDescent="0.3">
      <c r="B181" s="22"/>
      <c r="C181" s="22"/>
      <c r="D181" s="22"/>
      <c r="E181" s="22"/>
      <c r="F181" s="22"/>
    </row>
    <row r="182" spans="2:6" x14ac:dyDescent="0.3">
      <c r="B182" s="24" t="s">
        <v>22</v>
      </c>
      <c r="C182" s="24" t="s">
        <v>23</v>
      </c>
      <c r="D182" s="22"/>
      <c r="E182" s="24" t="s">
        <v>218</v>
      </c>
      <c r="F182" s="24" t="s">
        <v>27</v>
      </c>
    </row>
    <row r="183" spans="2:6" x14ac:dyDescent="0.3">
      <c r="B183" s="25" t="s">
        <v>219</v>
      </c>
      <c r="C183" s="27" t="s">
        <v>220</v>
      </c>
      <c r="D183" s="22"/>
      <c r="E183" s="25">
        <v>2</v>
      </c>
      <c r="F183" s="25"/>
    </row>
    <row r="184" spans="2:6" x14ac:dyDescent="0.3">
      <c r="B184" s="25" t="s">
        <v>221</v>
      </c>
      <c r="C184" s="27" t="s">
        <v>222</v>
      </c>
      <c r="D184" s="22"/>
      <c r="E184" s="25">
        <v>2</v>
      </c>
      <c r="F184" s="25"/>
    </row>
    <row r="185" spans="2:6" ht="28.8" x14ac:dyDescent="0.3">
      <c r="B185" s="25" t="s">
        <v>223</v>
      </c>
      <c r="C185" s="27" t="s">
        <v>224</v>
      </c>
      <c r="D185" s="22"/>
      <c r="E185" s="25">
        <v>2</v>
      </c>
      <c r="F185" s="25"/>
    </row>
    <row r="186" spans="2:6" ht="28.8" x14ac:dyDescent="0.3">
      <c r="B186" s="25" t="s">
        <v>225</v>
      </c>
      <c r="C186" s="27" t="s">
        <v>226</v>
      </c>
      <c r="D186" s="22"/>
      <c r="E186" s="25">
        <v>2</v>
      </c>
      <c r="F186" s="25"/>
    </row>
    <row r="187" spans="2:6" ht="28.8" x14ac:dyDescent="0.3">
      <c r="B187" s="25" t="s">
        <v>227</v>
      </c>
      <c r="C187" s="27" t="s">
        <v>259</v>
      </c>
      <c r="D187" s="22"/>
      <c r="E187" s="25">
        <v>1</v>
      </c>
      <c r="F187" s="25"/>
    </row>
    <row r="188" spans="2:6" x14ac:dyDescent="0.3">
      <c r="B188" s="22"/>
      <c r="C188" s="22"/>
      <c r="D188" s="22"/>
      <c r="E188" s="22"/>
      <c r="F188" s="22"/>
    </row>
    <row r="189" spans="2:6" ht="18" x14ac:dyDescent="0.3">
      <c r="B189" s="21" t="s">
        <v>229</v>
      </c>
      <c r="C189" s="21"/>
      <c r="D189" s="22"/>
      <c r="E189" s="21"/>
      <c r="F189" s="21"/>
    </row>
    <row r="190" spans="2:6" x14ac:dyDescent="0.3">
      <c r="B190" s="22"/>
      <c r="C190" s="22"/>
      <c r="D190" s="22"/>
      <c r="E190" s="22"/>
      <c r="F190" s="22"/>
    </row>
    <row r="191" spans="2:6" x14ac:dyDescent="0.3">
      <c r="B191" s="24" t="s">
        <v>22</v>
      </c>
      <c r="C191" s="24" t="s">
        <v>230</v>
      </c>
      <c r="D191" s="22"/>
      <c r="E191" s="24" t="s">
        <v>231</v>
      </c>
      <c r="F191" s="24" t="s">
        <v>27</v>
      </c>
    </row>
    <row r="192" spans="2:6" ht="28.8" x14ac:dyDescent="0.3">
      <c r="B192" s="25" t="s">
        <v>232</v>
      </c>
      <c r="C192" s="27" t="s">
        <v>233</v>
      </c>
      <c r="D192" s="22"/>
      <c r="E192" s="25"/>
      <c r="F192" s="25"/>
    </row>
    <row r="193" spans="2:7" ht="28.8" x14ac:dyDescent="0.3">
      <c r="B193" s="25" t="s">
        <v>235</v>
      </c>
      <c r="C193" s="27" t="s">
        <v>236</v>
      </c>
      <c r="D193" s="22"/>
      <c r="E193" s="25"/>
      <c r="F193" s="25"/>
    </row>
    <row r="194" spans="2:7" ht="28.8" x14ac:dyDescent="0.3">
      <c r="B194" s="25" t="s">
        <v>237</v>
      </c>
      <c r="C194" s="27" t="s">
        <v>238</v>
      </c>
      <c r="D194" s="22"/>
      <c r="E194" s="25"/>
      <c r="F194" s="25"/>
    </row>
    <row r="195" spans="2:7" ht="28.8" x14ac:dyDescent="0.3">
      <c r="B195" s="25" t="s">
        <v>239</v>
      </c>
      <c r="C195" s="27" t="s">
        <v>240</v>
      </c>
      <c r="D195" s="22"/>
      <c r="E195" s="25"/>
      <c r="F195" s="25"/>
    </row>
    <row r="196" spans="2:7" x14ac:dyDescent="0.3">
      <c r="E196" s="2" t="s">
        <v>394</v>
      </c>
    </row>
    <row r="198" spans="2:7" ht="18" x14ac:dyDescent="0.3">
      <c r="G198" s="1"/>
    </row>
    <row r="205" spans="2:7" x14ac:dyDescent="0.3">
      <c r="G205" s="28"/>
    </row>
  </sheetData>
  <mergeCells count="20">
    <mergeCell ref="K171:M171"/>
    <mergeCell ref="L172:M172"/>
    <mergeCell ref="B131:G131"/>
    <mergeCell ref="C133:G133"/>
    <mergeCell ref="B140:G140"/>
    <mergeCell ref="C142:G142"/>
    <mergeCell ref="B153:G153"/>
    <mergeCell ref="C155:G155"/>
    <mergeCell ref="B121:G121"/>
    <mergeCell ref="B1:G1"/>
    <mergeCell ref="B2:C2"/>
    <mergeCell ref="B15:G15"/>
    <mergeCell ref="B31:G31"/>
    <mergeCell ref="B33:G33"/>
    <mergeCell ref="B50:G50"/>
    <mergeCell ref="B63:G63"/>
    <mergeCell ref="B73:G73"/>
    <mergeCell ref="B86:G86"/>
    <mergeCell ref="B98:G98"/>
    <mergeCell ref="B110:G110"/>
  </mergeCells>
  <dataValidations count="6">
    <dataValidation type="whole" operator="greaterThanOrEqual" allowBlank="1" showInputMessage="1" showErrorMessage="1" promptTitle="Inserisci 1–2" prompt="1 = opzione 1; 2 = opzione 2 (vedi etichette sopra)" sqref="E183:E187" xr:uid="{27A2A21A-2F85-41C1-96C6-B1E80546FA6D}">
      <formula1>1</formula1>
    </dataValidation>
    <dataValidation type="whole" operator="greaterThanOrEqual" allowBlank="1" showInputMessage="1" showErrorMessage="1" promptTitle="Inserisci 1–5" prompt="1=fortemente in disaccordo … 5=fortemente d’accordo" sqref="E158:F167" xr:uid="{4BCC3CD9-C92A-4409-B876-5A5A996EAAB0}">
      <formula1>1</formula1>
    </dataValidation>
    <dataValidation type="whole" operator="greaterThanOrEqual" allowBlank="1" showInputMessage="1" showErrorMessage="1" promptTitle="Inserisci 0–3" prompt="0=per niente; 1=leggero; 2=moderato; 3=severo" sqref="E145:F150" xr:uid="{2DA512DD-0632-4154-9CFD-80A57E996996}">
      <formula1>0</formula1>
    </dataValidation>
    <dataValidation type="whole" operator="greaterThanOrEqual" allowBlank="1" showInputMessage="1" showErrorMessage="1" promptTitle="Inserisci 1–7" prompt="1=per niente; 2=pochissimo; 3=poco; 4=così così/neutro; 5=abbastanza; 6=molto; 7=moltissimo" sqref="E136:F137" xr:uid="{4E9871F3-C86E-4FB9-B41C-501505978B11}">
      <formula1>1</formula1>
    </dataValidation>
    <dataValidation type="whole" operator="greaterThanOrEqual" allowBlank="1" showInputMessage="1" showErrorMessage="1" promptTitle="Inserisci 1–7" prompt="1=per niente d’accordo; 2=poco d’accordo; 3=abbastanza in disaccordo; 4=neutro; 5=abbastanza d’accordo; 6=molto d’accordo; 7=pienamente d’accordo" sqref="E38:F47 E55:F60 E68:F70 E78:E84 E91:F95 E103:F107 E115:F118 E126:F128 F78:F83" xr:uid="{DA9A2BF9-CBB8-4F42-A327-8CA1DF5B6771}">
      <formula1>1</formula1>
    </dataValidation>
    <dataValidation type="whole" operator="greaterThanOrEqual" allowBlank="1" showInputMessage="1" showErrorMessage="1" promptTitle="Inserisci valore 1–7" prompt="1=per niente d’accordo … 7=pienamente d’accordo" sqref="E20:E29 E9:E12" xr:uid="{F791A4B5-CABF-4698-9807-93E1700C139E}">
      <formula1>1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36</vt:i4>
      </vt:variant>
      <vt:variant>
        <vt:lpstr>Intervalli denominati</vt:lpstr>
      </vt:variant>
      <vt:variant>
        <vt:i4>1</vt:i4>
      </vt:variant>
    </vt:vector>
  </HeadingPairs>
  <TitlesOfParts>
    <vt:vector size="37" baseType="lpstr">
      <vt:lpstr>Dati Anagrafici</vt:lpstr>
      <vt:lpstr>Fomo Generica</vt:lpstr>
      <vt:lpstr>Immersione</vt:lpstr>
      <vt:lpstr>Agency</vt:lpstr>
      <vt:lpstr>Presenza</vt:lpstr>
      <vt:lpstr>Fomo in video</vt:lpstr>
      <vt:lpstr>W-Comfort</vt:lpstr>
      <vt:lpstr>W-Coerenza</vt:lpstr>
      <vt:lpstr>W-Accettabilità°</vt:lpstr>
      <vt:lpstr>W-Percezione</vt:lpstr>
      <vt:lpstr>Soddisfazione°</vt:lpstr>
      <vt:lpstr>Cybersickness</vt:lpstr>
      <vt:lpstr>Imm. Specifiche</vt:lpstr>
      <vt:lpstr>SUS</vt:lpstr>
      <vt:lpstr>Confronto</vt:lpstr>
      <vt:lpstr>Utente 1</vt:lpstr>
      <vt:lpstr>Utente 2</vt:lpstr>
      <vt:lpstr>Utente 3</vt:lpstr>
      <vt:lpstr>Utente 4</vt:lpstr>
      <vt:lpstr>Utente 5</vt:lpstr>
      <vt:lpstr>Utente 6</vt:lpstr>
      <vt:lpstr>Utente 7</vt:lpstr>
      <vt:lpstr>Utente 8</vt:lpstr>
      <vt:lpstr>Utente 9</vt:lpstr>
      <vt:lpstr>Utente 10</vt:lpstr>
      <vt:lpstr>Utente 11</vt:lpstr>
      <vt:lpstr>Utente 12</vt:lpstr>
      <vt:lpstr>Utente 13</vt:lpstr>
      <vt:lpstr>Utente 14</vt:lpstr>
      <vt:lpstr>Utente 15</vt:lpstr>
      <vt:lpstr>Utente 16</vt:lpstr>
      <vt:lpstr>Utente 17</vt:lpstr>
      <vt:lpstr>Utente 18</vt:lpstr>
      <vt:lpstr>Utente 19</vt:lpstr>
      <vt:lpstr>Utente 20</vt:lpstr>
      <vt:lpstr>Utente 21</vt:lpstr>
      <vt:lpstr>Immersione!Area_stampa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 Santalucia</dc:creator>
  <cp:lastModifiedBy>Santalucia  Cristiano</cp:lastModifiedBy>
  <cp:lastPrinted>2025-10-10T20:47:58Z</cp:lastPrinted>
  <dcterms:created xsi:type="dcterms:W3CDTF">2025-10-08T14:05:15Z</dcterms:created>
  <dcterms:modified xsi:type="dcterms:W3CDTF">2025-10-16T08:25:04Z</dcterms:modified>
</cp:coreProperties>
</file>