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ristopher\Desktop\"/>
    </mc:Choice>
  </mc:AlternateContent>
  <bookViews>
    <workbookView xWindow="0" yWindow="0" windowWidth="17910" windowHeight="6900" activeTab="3"/>
  </bookViews>
  <sheets>
    <sheet name="Balance de materia" sheetId="2" r:id="rId1"/>
    <sheet name="Air sin Precal" sheetId="8" r:id="rId2"/>
    <sheet name=" Air con Precal" sheetId="9" r:id="rId3"/>
    <sheet name="Datos" sheetId="10" r:id="rId4"/>
  </sheets>
  <definedNames>
    <definedName name="solver_adj" localSheetId="0" hidden="1">'Balance de materia'!$F$16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'Balance de materia'!$C$34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0" i="9" l="1"/>
  <c r="AV20" i="9"/>
  <c r="BB20" i="9"/>
  <c r="BH20" i="9"/>
  <c r="BN20" i="9"/>
  <c r="BT20" i="9"/>
  <c r="AP21" i="9"/>
  <c r="AV21" i="9"/>
  <c r="BB21" i="9"/>
  <c r="BN21" i="9" s="1"/>
  <c r="BH21" i="9"/>
  <c r="BT21" i="9"/>
  <c r="AP22" i="9"/>
  <c r="AV22" i="9"/>
  <c r="BB22" i="9"/>
  <c r="BH22" i="9"/>
  <c r="BN22" i="9"/>
  <c r="BT22" i="9"/>
  <c r="AP23" i="9"/>
  <c r="AV23" i="9"/>
  <c r="BB23" i="9"/>
  <c r="BH23" i="9"/>
  <c r="BN23" i="9"/>
  <c r="BT23" i="9"/>
  <c r="AG3" i="10"/>
  <c r="AR3" i="10"/>
  <c r="AG4" i="10"/>
  <c r="AR4" i="10"/>
  <c r="AG5" i="10"/>
  <c r="AR5" i="10"/>
  <c r="AG6" i="10"/>
  <c r="AR6" i="10"/>
  <c r="AG7" i="10"/>
  <c r="AR7" i="10"/>
  <c r="AG8" i="10"/>
  <c r="AR8" i="10"/>
  <c r="AG9" i="10"/>
  <c r="AR9" i="10"/>
  <c r="AG10" i="10"/>
  <c r="AR10" i="10"/>
  <c r="AG11" i="10"/>
  <c r="AR11" i="10"/>
  <c r="AG12" i="10"/>
  <c r="AR12" i="10"/>
  <c r="F16" i="2"/>
  <c r="F4" i="2"/>
  <c r="I4" i="8"/>
  <c r="I11" i="8"/>
  <c r="I12" i="8"/>
  <c r="I13" i="8"/>
  <c r="I14" i="8"/>
  <c r="I20" i="8"/>
  <c r="I21" i="8"/>
  <c r="I22" i="8"/>
  <c r="I23" i="8"/>
  <c r="I28" i="8"/>
  <c r="I29" i="8"/>
  <c r="I30" i="8"/>
  <c r="I31" i="8"/>
  <c r="I5" i="8"/>
  <c r="I6" i="8"/>
  <c r="I7" i="8"/>
  <c r="AR30" i="10" l="1"/>
  <c r="AR23" i="10"/>
  <c r="AR16" i="10"/>
  <c r="AR29" i="10"/>
  <c r="AR22" i="10"/>
  <c r="AR15" i="10"/>
  <c r="AR28" i="10"/>
  <c r="AR21" i="10"/>
  <c r="AR14" i="10"/>
  <c r="AR27" i="10"/>
  <c r="AR20" i="10"/>
  <c r="AR13" i="10"/>
  <c r="AR26" i="10"/>
  <c r="AR19" i="10"/>
  <c r="AR25" i="10"/>
  <c r="AR18" i="10"/>
  <c r="AR24" i="10"/>
  <c r="AR17" i="10"/>
  <c r="V24" i="10"/>
  <c r="V17" i="10"/>
  <c r="V10" i="10"/>
  <c r="V3" i="10"/>
  <c r="AG30" i="10"/>
  <c r="AG23" i="10"/>
  <c r="AG29" i="10"/>
  <c r="AG22" i="10"/>
  <c r="AG15" i="10"/>
  <c r="AG28" i="10"/>
  <c r="AG21" i="10"/>
  <c r="AG14" i="10"/>
  <c r="AG27" i="10"/>
  <c r="AG20" i="10"/>
  <c r="AG13" i="10"/>
  <c r="AG26" i="10"/>
  <c r="AG19" i="10"/>
  <c r="AG25" i="10"/>
  <c r="AG18" i="10"/>
  <c r="AG24" i="10"/>
  <c r="AG17" i="10"/>
  <c r="K3" i="10"/>
  <c r="K30" i="10" l="1"/>
  <c r="K23" i="10"/>
  <c r="K16" i="10"/>
  <c r="K9" i="10"/>
  <c r="K29" i="10"/>
  <c r="K22" i="10"/>
  <c r="K15" i="10"/>
  <c r="K8" i="10"/>
  <c r="K28" i="10"/>
  <c r="K21" i="10"/>
  <c r="K14" i="10"/>
  <c r="K7" i="10"/>
  <c r="K27" i="10"/>
  <c r="K20" i="10"/>
  <c r="K13" i="10"/>
  <c r="K6" i="10"/>
  <c r="K26" i="10"/>
  <c r="K19" i="10"/>
  <c r="K12" i="10"/>
  <c r="K5" i="10"/>
  <c r="K25" i="10"/>
  <c r="K18" i="10"/>
  <c r="K11" i="10"/>
  <c r="K4" i="10"/>
  <c r="K24" i="10"/>
  <c r="K17" i="10"/>
  <c r="CF29" i="9"/>
  <c r="CF30" i="9"/>
  <c r="CF31" i="9"/>
  <c r="CF21" i="9"/>
  <c r="CF22" i="9"/>
  <c r="CF23" i="9"/>
  <c r="BT29" i="9"/>
  <c r="BT30" i="9"/>
  <c r="BT31" i="9"/>
  <c r="BH29" i="9"/>
  <c r="BH30" i="9"/>
  <c r="BH31" i="9"/>
  <c r="AJ29" i="9"/>
  <c r="AJ30" i="9"/>
  <c r="AJ31" i="9"/>
  <c r="X29" i="9"/>
  <c r="X30" i="9"/>
  <c r="X31" i="9"/>
  <c r="X21" i="9"/>
  <c r="X22" i="9"/>
  <c r="X23" i="9"/>
  <c r="CF28" i="9"/>
  <c r="BT28" i="9"/>
  <c r="BH28" i="9"/>
  <c r="AJ28" i="9"/>
  <c r="X28" i="9"/>
  <c r="CF20" i="9"/>
  <c r="X20" i="9"/>
  <c r="L21" i="9"/>
  <c r="L22" i="9"/>
  <c r="L23" i="9"/>
  <c r="L20" i="9"/>
  <c r="R31" i="9"/>
  <c r="R30" i="9"/>
  <c r="R29" i="9"/>
  <c r="AD31" i="9"/>
  <c r="AD30" i="9"/>
  <c r="AD29" i="9"/>
  <c r="AP31" i="9"/>
  <c r="AP30" i="9"/>
  <c r="AP29" i="9"/>
  <c r="BB31" i="9"/>
  <c r="BB30" i="9"/>
  <c r="BB29" i="9"/>
  <c r="BN31" i="9"/>
  <c r="BN30" i="9"/>
  <c r="BN29" i="9"/>
  <c r="BZ31" i="9"/>
  <c r="BZ30" i="9"/>
  <c r="BZ29" i="9"/>
  <c r="BZ28" i="9"/>
  <c r="BN28" i="9"/>
  <c r="BB28" i="9"/>
  <c r="AP28" i="9"/>
  <c r="AD28" i="9"/>
  <c r="R28" i="9"/>
  <c r="AV31" i="9"/>
  <c r="AV30" i="9"/>
  <c r="AV29" i="9"/>
  <c r="AV28" i="9"/>
  <c r="R23" i="9"/>
  <c r="AD23" i="9" s="1"/>
  <c r="BZ23" i="9" s="1"/>
  <c r="R22" i="9"/>
  <c r="AD22" i="9" s="1"/>
  <c r="BZ22" i="9" s="1"/>
  <c r="R21" i="9"/>
  <c r="AD21" i="9" s="1"/>
  <c r="BZ21" i="9" s="1"/>
  <c r="R20" i="9"/>
  <c r="AD20" i="9" s="1"/>
  <c r="BZ20" i="9" s="1"/>
  <c r="AJ13" i="9"/>
  <c r="CF12" i="9"/>
  <c r="BT12" i="9"/>
  <c r="BH12" i="9"/>
  <c r="AV12" i="9"/>
  <c r="CF15" i="9"/>
  <c r="CF14" i="9"/>
  <c r="CF13" i="9"/>
  <c r="BT15" i="9"/>
  <c r="BT14" i="9"/>
  <c r="BT13" i="9"/>
  <c r="BH15" i="9"/>
  <c r="BH14" i="9"/>
  <c r="BH13" i="9"/>
  <c r="AV15" i="9"/>
  <c r="AV14" i="9"/>
  <c r="AV13" i="9"/>
  <c r="AJ15" i="9"/>
  <c r="AJ14" i="9"/>
  <c r="AJ12" i="9"/>
  <c r="X15" i="9"/>
  <c r="X14" i="9"/>
  <c r="X13" i="9"/>
  <c r="X12" i="9"/>
  <c r="AL15" i="9"/>
  <c r="AL14" i="9"/>
  <c r="AL13" i="9"/>
  <c r="AL12" i="9"/>
  <c r="L13" i="9"/>
  <c r="L14" i="9"/>
  <c r="L15" i="9"/>
  <c r="L12" i="9"/>
  <c r="AD15" i="9"/>
  <c r="AP15" i="9" s="1"/>
  <c r="BB15" i="9" s="1"/>
  <c r="BN15" i="9" s="1"/>
  <c r="BZ15" i="9" s="1"/>
  <c r="AD14" i="9"/>
  <c r="AP14" i="9" s="1"/>
  <c r="BB14" i="9" s="1"/>
  <c r="BN14" i="9" s="1"/>
  <c r="BZ14" i="9" s="1"/>
  <c r="AD13" i="9"/>
  <c r="AP13" i="9" s="1"/>
  <c r="BB13" i="9" s="1"/>
  <c r="BN13" i="9" s="1"/>
  <c r="BZ13" i="9" s="1"/>
  <c r="AD12" i="9"/>
  <c r="AP12" i="9" s="1"/>
  <c r="BB12" i="9" s="1"/>
  <c r="BN12" i="9" s="1"/>
  <c r="BZ12" i="9" s="1"/>
  <c r="R12" i="9"/>
  <c r="BT7" i="9"/>
  <c r="BT6" i="9"/>
  <c r="X5" i="9"/>
  <c r="AV5" i="9"/>
  <c r="BH5" i="9"/>
  <c r="BT5" i="9"/>
  <c r="CF5" i="9"/>
  <c r="CF6" i="9"/>
  <c r="CF7" i="9"/>
  <c r="CF4" i="9"/>
  <c r="BT4" i="9"/>
  <c r="BH6" i="9" l="1"/>
  <c r="BH7" i="9"/>
  <c r="BH4" i="9"/>
  <c r="AV6" i="9"/>
  <c r="AV7" i="9"/>
  <c r="AV4" i="9"/>
  <c r="AJ5" i="9"/>
  <c r="AJ6" i="9"/>
  <c r="AJ7" i="9"/>
  <c r="AJ4" i="9"/>
  <c r="X6" i="9"/>
  <c r="X7" i="9"/>
  <c r="X4" i="9"/>
  <c r="L7" i="9"/>
  <c r="L4" i="9"/>
  <c r="L5" i="9"/>
  <c r="L6" i="9"/>
  <c r="AJ20" i="9"/>
  <c r="L31" i="9" l="1"/>
  <c r="L30" i="9"/>
  <c r="L29" i="9"/>
  <c r="L28" i="9"/>
  <c r="AJ23" i="9"/>
  <c r="AJ22" i="9"/>
  <c r="AJ21" i="9"/>
  <c r="F7" i="2" l="1"/>
  <c r="Q51" i="2" l="1"/>
  <c r="Q52" i="2" s="1"/>
  <c r="F54" i="2"/>
  <c r="E22" i="2"/>
  <c r="C22" i="2" s="1"/>
  <c r="E23" i="2"/>
  <c r="C23" i="2" s="1"/>
  <c r="E24" i="2"/>
  <c r="C24" i="2" s="1"/>
  <c r="E25" i="2"/>
  <c r="C25" i="2" s="1"/>
  <c r="D25" i="2" s="1"/>
  <c r="E26" i="2"/>
  <c r="C26" i="2" s="1"/>
  <c r="D26" i="2" s="1"/>
  <c r="E21" i="2"/>
  <c r="F46" i="2"/>
  <c r="C21" i="2" l="1"/>
  <c r="C27" i="2" s="1"/>
  <c r="F27" i="2" s="1"/>
  <c r="E27" i="2"/>
  <c r="D24" i="2"/>
  <c r="O31" i="2"/>
  <c r="D22" i="2"/>
  <c r="O23" i="2"/>
  <c r="D23" i="2"/>
  <c r="O27" i="2"/>
  <c r="F47" i="2"/>
  <c r="F48" i="2"/>
  <c r="F55" i="2"/>
  <c r="F57" i="2" s="1"/>
  <c r="F56" i="2"/>
  <c r="Q53" i="2"/>
  <c r="Q54" i="2"/>
  <c r="I21" i="2" l="1"/>
  <c r="J21" i="2" s="1"/>
  <c r="D21" i="2"/>
  <c r="D27" i="2" s="1"/>
  <c r="G31" i="2"/>
  <c r="C33" i="2" s="1"/>
  <c r="I22" i="2" s="1"/>
  <c r="J22" i="2" s="1"/>
  <c r="O19" i="2"/>
  <c r="P19" i="2" s="1"/>
  <c r="C54" i="2"/>
  <c r="C57" i="2"/>
  <c r="F49" i="2"/>
  <c r="C48" i="2" s="1"/>
  <c r="C55" i="2"/>
  <c r="Q31" i="2"/>
  <c r="R31" i="2"/>
  <c r="P31" i="2"/>
  <c r="R27" i="2"/>
  <c r="P27" i="2"/>
  <c r="Q27" i="2"/>
  <c r="P23" i="2"/>
  <c r="Q23" i="2"/>
  <c r="R23" i="2"/>
  <c r="C56" i="2"/>
  <c r="N53" i="2"/>
  <c r="N52" i="2"/>
  <c r="N54" i="2"/>
  <c r="N51" i="2"/>
  <c r="C32" i="2" l="1"/>
  <c r="D32" i="2" s="1"/>
  <c r="Q19" i="2"/>
  <c r="C31" i="2"/>
  <c r="I23" i="2" s="1"/>
  <c r="J23" i="2" s="1"/>
  <c r="R19" i="2"/>
  <c r="C58" i="2"/>
  <c r="C47" i="2"/>
  <c r="I24" i="2" l="1"/>
  <c r="J56" i="2" s="1"/>
  <c r="D31" i="2"/>
  <c r="C50" i="2" s="1"/>
  <c r="C60" i="2" s="1"/>
  <c r="I25" i="2" l="1"/>
  <c r="K22" i="2" s="1"/>
  <c r="J24" i="2"/>
  <c r="J25" i="2" s="1"/>
  <c r="H36" i="2" s="1"/>
  <c r="N44" i="2"/>
  <c r="F40" i="2" s="1"/>
  <c r="K24" i="2" l="1"/>
  <c r="K21" i="2"/>
  <c r="K23" i="2"/>
  <c r="N56" i="2"/>
  <c r="K25" i="2" l="1"/>
  <c r="I5" i="2"/>
  <c r="I6" i="2" s="1"/>
  <c r="Q56" i="2"/>
  <c r="C34" i="2"/>
  <c r="F34" i="2" s="1"/>
  <c r="B53" i="8" s="1"/>
  <c r="D33" i="2"/>
  <c r="D34" i="2" l="1"/>
  <c r="D36" i="2" s="1"/>
  <c r="E33" i="2"/>
  <c r="E31" i="2"/>
  <c r="E32" i="2"/>
  <c r="E34" i="2" l="1"/>
</calcChain>
</file>

<file path=xl/sharedStrings.xml><?xml version="1.0" encoding="utf-8"?>
<sst xmlns="http://schemas.openxmlformats.org/spreadsheetml/2006/main" count="859" uniqueCount="130">
  <si>
    <t>Reacción Metano</t>
  </si>
  <si>
    <t>Reacción Etano</t>
  </si>
  <si>
    <t>Reacción Propano</t>
  </si>
  <si>
    <t>Reacción Butano</t>
  </si>
  <si>
    <t>CH4</t>
  </si>
  <si>
    <t>O2</t>
  </si>
  <si>
    <t>CO2</t>
  </si>
  <si>
    <t>C2H6</t>
  </si>
  <si>
    <t>C3H8</t>
  </si>
  <si>
    <t>C4H10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</si>
  <si>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H2O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</si>
  <si>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CO2</t>
    </r>
  </si>
  <si>
    <r>
      <rPr>
        <b/>
        <sz val="11"/>
        <color theme="1"/>
        <rFont val="Calibri"/>
        <family val="2"/>
        <scheme val="minor"/>
      </rPr>
      <t>13/2</t>
    </r>
    <r>
      <rPr>
        <sz val="11"/>
        <color theme="1"/>
        <rFont val="Calibri"/>
        <family val="2"/>
        <scheme val="minor"/>
      </rPr>
      <t xml:space="preserve"> O2</t>
    </r>
  </si>
  <si>
    <t>2 O2</t>
  </si>
  <si>
    <t>2 H2O</t>
  </si>
  <si>
    <t>Compuesto</t>
  </si>
  <si>
    <t>b) Aire</t>
  </si>
  <si>
    <t>%Execo</t>
  </si>
  <si>
    <t>Temp. Aire</t>
  </si>
  <si>
    <t>C</t>
  </si>
  <si>
    <t>Temp. Gas</t>
  </si>
  <si>
    <t>BALANCE DE MATERIA</t>
  </si>
  <si>
    <t>ENTRADAS</t>
  </si>
  <si>
    <t>a) Gas Combustibles</t>
  </si>
  <si>
    <t>gr mol</t>
  </si>
  <si>
    <t>gr masa</t>
  </si>
  <si>
    <t>%molar</t>
  </si>
  <si>
    <t>Base de Cálculo: mezcla combustible quemada</t>
  </si>
  <si>
    <t>% molar</t>
  </si>
  <si>
    <t>N2</t>
  </si>
  <si>
    <t>O2 Teórico</t>
  </si>
  <si>
    <t>MASA TOTAL ENTRADA:</t>
  </si>
  <si>
    <t>Suma masa de aire</t>
  </si>
  <si>
    <t>Suma masa de gas</t>
  </si>
  <si>
    <t>MASA TOTAL DE SALIDA:</t>
  </si>
  <si>
    <t>SALIDAS</t>
  </si>
  <si>
    <t>c) Gases de combustión</t>
  </si>
  <si>
    <t>H2O</t>
  </si>
  <si>
    <t>Total</t>
  </si>
  <si>
    <t>BALANCE DE ENERGÍA</t>
  </si>
  <si>
    <r>
      <t>Q=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HReactivos + Hproductos - Hreactivos</t>
    </r>
  </si>
  <si>
    <t>Hreactivos=Haire + Hgas</t>
  </si>
  <si>
    <t>a) Cálculo de Hreacctivos</t>
  </si>
  <si>
    <t>Cp [kj/kgmol-C]</t>
  </si>
  <si>
    <t>Kj</t>
  </si>
  <si>
    <t>To=</t>
  </si>
  <si>
    <t>Te=</t>
  </si>
  <si>
    <t>Haire=</t>
  </si>
  <si>
    <t>Hgas=</t>
  </si>
  <si>
    <t>kj</t>
  </si>
  <si>
    <t>Hreactivos=</t>
  </si>
  <si>
    <t>b) Cálculo de DHReactivos</t>
  </si>
  <si>
    <r>
      <t>D</t>
    </r>
    <r>
      <rPr>
        <sz val="11"/>
        <color theme="1"/>
        <rFont val="Calibri"/>
        <family val="2"/>
        <scheme val="minor"/>
      </rPr>
      <t>HReactivos =</t>
    </r>
    <r>
      <rPr>
        <sz val="8"/>
        <rFont val="Symbol"/>
        <family val="1"/>
        <charset val="2"/>
      </rPr>
      <t xml:space="preserve"> SD</t>
    </r>
    <r>
      <rPr>
        <sz val="11"/>
        <color theme="1"/>
        <rFont val="Calibri"/>
        <family val="2"/>
        <scheme val="minor"/>
      </rPr>
      <t>HFprod-</t>
    </r>
    <r>
      <rPr>
        <sz val="8"/>
        <rFont val="Symbol"/>
        <family val="1"/>
        <charset val="2"/>
      </rPr>
      <t>SD</t>
    </r>
    <r>
      <rPr>
        <sz val="11"/>
        <color theme="1"/>
        <rFont val="Calibri"/>
        <family val="2"/>
        <scheme val="minor"/>
      </rPr>
      <t>HFreac</t>
    </r>
  </si>
  <si>
    <r>
      <t>D</t>
    </r>
    <r>
      <rPr>
        <sz val="11"/>
        <color theme="1"/>
        <rFont val="Calibri"/>
        <family val="2"/>
        <scheme val="minor"/>
      </rPr>
      <t>HF Kj/gmol</t>
    </r>
  </si>
  <si>
    <t>CH4g</t>
  </si>
  <si>
    <t>C2H6g</t>
  </si>
  <si>
    <t>C3H8g</t>
  </si>
  <si>
    <t>C4H10g</t>
  </si>
  <si>
    <t>H2Og</t>
  </si>
  <si>
    <t>CO2g</t>
  </si>
  <si>
    <t>O2g</t>
  </si>
  <si>
    <t>N2g</t>
  </si>
  <si>
    <r>
      <t>D</t>
    </r>
    <r>
      <rPr>
        <sz val="11"/>
        <color theme="1"/>
        <rFont val="Calibri"/>
        <family val="2"/>
        <scheme val="minor"/>
      </rPr>
      <t>HReac. =</t>
    </r>
  </si>
  <si>
    <t>c) Cálculo de Hproductos</t>
  </si>
  <si>
    <t>Q=0, por lo tanto:</t>
  </si>
  <si>
    <t>Hprod =</t>
  </si>
  <si>
    <t>d) Cálculo de Temperatura de la flama</t>
  </si>
  <si>
    <r>
      <rPr>
        <b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O2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</si>
  <si>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CO2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</si>
  <si>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H2O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</si>
  <si>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O2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</si>
  <si>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CO2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</si>
  <si>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H2O</t>
    </r>
  </si>
  <si>
    <r>
      <t>Tf = 25 + Hprod/</t>
    </r>
    <r>
      <rPr>
        <sz val="8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(n&lt;Cp&gt;)</t>
    </r>
  </si>
  <si>
    <t>Cp [Kj/kgmol-C]</t>
  </si>
  <si>
    <t>Tflama =</t>
  </si>
  <si>
    <t>Factor T1=</t>
  </si>
  <si>
    <t>Factor T2=</t>
  </si>
  <si>
    <t>Factor T3=</t>
  </si>
  <si>
    <t xml:space="preserve"> Gas natural</t>
  </si>
  <si>
    <t xml:space="preserve"> Aire</t>
  </si>
  <si>
    <t>Temperatura de flama</t>
  </si>
  <si>
    <t>Tcalculada</t>
  </si>
  <si>
    <t>Tsupuesta</t>
  </si>
  <si>
    <t>%Error=</t>
  </si>
  <si>
    <t>%Humedad</t>
  </si>
  <si>
    <t>mol H2O/mol a.s</t>
  </si>
  <si>
    <t>K</t>
  </si>
  <si>
    <t>T</t>
  </si>
  <si>
    <t>MJ/h</t>
  </si>
  <si>
    <t>kg mol</t>
  </si>
  <si>
    <t>kgmol</t>
  </si>
  <si>
    <t>Eficiencia</t>
  </si>
  <si>
    <t>Tem. Adia Flama</t>
  </si>
  <si>
    <t>M aire</t>
  </si>
  <si>
    <t xml:space="preserve">M gas </t>
  </si>
  <si>
    <t>kmol/h</t>
  </si>
  <si>
    <t>°C</t>
  </si>
  <si>
    <t>Exceso de aire</t>
  </si>
  <si>
    <t>%</t>
  </si>
  <si>
    <t xml:space="preserve">Q </t>
  </si>
  <si>
    <t>Tem. Gases de chimenea</t>
  </si>
  <si>
    <t>% Exceso</t>
  </si>
  <si>
    <t>Precalentamiento</t>
  </si>
  <si>
    <t>Q Aire</t>
  </si>
  <si>
    <t>Q total</t>
  </si>
  <si>
    <t>KJ/h</t>
  </si>
  <si>
    <t>Tem. cProceso</t>
  </si>
  <si>
    <t>%exceso</t>
  </si>
  <si>
    <t>%Exceso</t>
  </si>
  <si>
    <t>Tempera</t>
  </si>
  <si>
    <t>w gas (gr)</t>
  </si>
  <si>
    <t>M gas (kmol/h)</t>
  </si>
  <si>
    <t>% exceso aire</t>
  </si>
  <si>
    <t>Precalentamiento (°C)</t>
  </si>
  <si>
    <t>Tem. Adia Flama (°C)</t>
  </si>
  <si>
    <t>Tem. cProceso (°C)</t>
  </si>
  <si>
    <t>Tem. Gases de chimenea (°C)</t>
  </si>
  <si>
    <t>M aire (kgmol/h)</t>
  </si>
  <si>
    <t>M gas (kgmol/h)</t>
  </si>
  <si>
    <t>Q (MJ/h)</t>
  </si>
  <si>
    <t>Q Aire (KJ/h)</t>
  </si>
  <si>
    <t>Q total (KJ/h)</t>
  </si>
  <si>
    <t>Eficiencia (%)</t>
  </si>
  <si>
    <t>Exeso de aire 0%</t>
  </si>
  <si>
    <t>Exeso de aire 10%</t>
  </si>
  <si>
    <t>Exeso de aire 20%</t>
  </si>
  <si>
    <t>Exeso de aire 30%</t>
  </si>
  <si>
    <r>
      <t>H</t>
    </r>
    <r>
      <rPr>
        <vertAlign val="subscript"/>
        <sz val="11"/>
        <color rgb="FFFF0000"/>
        <rFont val="Calibri"/>
        <family val="2"/>
        <scheme val="minor"/>
      </rPr>
      <t>AIRE</t>
    </r>
  </si>
  <si>
    <r>
      <t>H</t>
    </r>
    <r>
      <rPr>
        <vertAlign val="subscript"/>
        <sz val="11"/>
        <color rgb="FFFF0000"/>
        <rFont val="Calibri"/>
        <family val="2"/>
        <scheme val="minor"/>
      </rPr>
      <t>GAS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</si>
</sst>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00%"/>
    <numFmt numFmtId="166" formatCode="0.000"/>
    <numFmt numFmtId="167" formatCode="0.0000"/>
    <numFmt numFmtId="168" formatCode="0.0"/>
    <numFmt numFmtId="169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Symbol"/>
      <family val="1"/>
      <charset val="2"/>
    </font>
    <font>
      <sz val="11"/>
      <name val="Calibri Light"/>
      <family val="2"/>
      <scheme val="major"/>
    </font>
    <font>
      <sz val="18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5F5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110">
    <xf numFmtId="0" fontId="0" fillId="0" borderId="0" xfId="0"/>
    <xf numFmtId="0" fontId="0" fillId="0" borderId="0" xfId="0" applyAlignment="1" applyProtection="1">
      <alignment horizontal="left"/>
    </xf>
    <xf numFmtId="0" fontId="7" fillId="0" borderId="0" xfId="0" applyFont="1"/>
    <xf numFmtId="10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0" fillId="0" borderId="0" xfId="0" applyFill="1"/>
    <xf numFmtId="0" fontId="0" fillId="0" borderId="0" xfId="0" applyFill="1" applyAlignment="1" applyProtection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 applyProtection="1">
      <alignment horizontal="left"/>
    </xf>
    <xf numFmtId="10" fontId="0" fillId="7" borderId="0" xfId="1" applyNumberFormat="1" applyFont="1" applyFill="1" applyAlignment="1">
      <alignment horizontal="center"/>
    </xf>
    <xf numFmtId="10" fontId="0" fillId="7" borderId="0" xfId="1" applyNumberFormat="1" applyFont="1" applyFill="1"/>
    <xf numFmtId="164" fontId="0" fillId="7" borderId="0" xfId="1" applyNumberFormat="1" applyFont="1" applyFill="1" applyAlignment="1">
      <alignment horizontal="center"/>
    </xf>
    <xf numFmtId="2" fontId="0" fillId="7" borderId="0" xfId="0" applyNumberFormat="1" applyFill="1"/>
    <xf numFmtId="0" fontId="7" fillId="7" borderId="0" xfId="0" applyFont="1" applyFill="1"/>
    <xf numFmtId="164" fontId="0" fillId="0" borderId="0" xfId="1" applyNumberFormat="1" applyFont="1" applyFill="1" applyAlignment="1">
      <alignment horizontal="center"/>
    </xf>
    <xf numFmtId="0" fontId="9" fillId="0" borderId="0" xfId="0" applyFont="1" applyAlignment="1" applyProtection="1">
      <alignment horizontal="left"/>
    </xf>
    <xf numFmtId="0" fontId="9" fillId="7" borderId="0" xfId="0" applyFont="1" applyFill="1" applyAlignment="1" applyProtection="1">
      <alignment horizontal="left"/>
    </xf>
    <xf numFmtId="0" fontId="9" fillId="0" borderId="0" xfId="0" applyFont="1" applyFill="1" applyAlignment="1" applyProtection="1">
      <alignment horizontal="left"/>
    </xf>
    <xf numFmtId="0" fontId="0" fillId="0" borderId="0" xfId="0" applyFill="1" applyProtection="1"/>
    <xf numFmtId="0" fontId="10" fillId="7" borderId="0" xfId="0" applyFont="1" applyFill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/>
    <xf numFmtId="0" fontId="12" fillId="0" borderId="0" xfId="0" applyFont="1" applyAlignment="1" applyProtection="1">
      <alignment horizontal="left"/>
    </xf>
    <xf numFmtId="0" fontId="12" fillId="7" borderId="0" xfId="0" applyFont="1" applyFill="1" applyAlignment="1" applyProtection="1">
      <alignment horizontal="left"/>
    </xf>
    <xf numFmtId="0" fontId="0" fillId="7" borderId="0" xfId="0" applyFont="1" applyFill="1"/>
    <xf numFmtId="0" fontId="0" fillId="7" borderId="0" xfId="0" quotePrefix="1" applyFill="1"/>
    <xf numFmtId="0" fontId="0" fillId="0" borderId="0" xfId="0" applyNumberFormat="1" applyBorder="1" applyAlignment="1">
      <alignment horizontal="center"/>
    </xf>
    <xf numFmtId="165" fontId="0" fillId="0" borderId="0" xfId="1" applyNumberFormat="1" applyFont="1"/>
    <xf numFmtId="0" fontId="0" fillId="0" borderId="0" xfId="1" applyNumberFormat="1" applyFont="1" applyFill="1" applyBorder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0" fillId="0" borderId="0" xfId="4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7" applyNumberFormat="1" applyFont="1" applyFill="1" applyBorder="1" applyAlignment="1">
      <alignment horizontal="center"/>
    </xf>
    <xf numFmtId="0" fontId="1" fillId="0" borderId="0" xfId="8" applyNumberFormat="1" applyFill="1" applyBorder="1" applyAlignment="1">
      <alignment horizontal="center"/>
    </xf>
    <xf numFmtId="0" fontId="0" fillId="0" borderId="0" xfId="0" applyNumberFormat="1" applyFill="1" applyBorder="1"/>
    <xf numFmtId="0" fontId="1" fillId="0" borderId="0" xfId="7" applyNumberFormat="1" applyFill="1" applyBorder="1" applyAlignment="1">
      <alignment horizontal="center"/>
    </xf>
    <xf numFmtId="0" fontId="0" fillId="0" borderId="0" xfId="0" applyNumberFormat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11" fillId="0" borderId="0" xfId="2" applyNumberFormat="1" applyFont="1" applyFill="1" applyBorder="1" applyAlignment="1"/>
    <xf numFmtId="11" fontId="0" fillId="0" borderId="0" xfId="1" applyNumberFormat="1" applyFont="1" applyFill="1" applyBorder="1" applyAlignment="1">
      <alignment horizontal="center"/>
    </xf>
    <xf numFmtId="9" fontId="0" fillId="0" borderId="0" xfId="1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8" borderId="0" xfId="0" applyFill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Fill="1" applyBorder="1"/>
    <xf numFmtId="166" fontId="0" fillId="0" borderId="6" xfId="0" applyNumberFormat="1" applyBorder="1"/>
    <xf numFmtId="0" fontId="1" fillId="12" borderId="6" xfId="11" applyBorder="1"/>
    <xf numFmtId="0" fontId="1" fillId="11" borderId="6" xfId="10" applyBorder="1" applyAlignment="1">
      <alignment horizontal="center"/>
    </xf>
    <xf numFmtId="0" fontId="1" fillId="11" borderId="6" xfId="10" applyBorder="1"/>
    <xf numFmtId="0" fontId="1" fillId="13" borderId="6" xfId="12" applyBorder="1" applyAlignment="1">
      <alignment horizontal="center"/>
    </xf>
    <xf numFmtId="0" fontId="0" fillId="13" borderId="6" xfId="12" applyFont="1" applyBorder="1" applyAlignment="1">
      <alignment horizontal="center"/>
    </xf>
    <xf numFmtId="2" fontId="0" fillId="0" borderId="6" xfId="0" applyNumberFormat="1" applyBorder="1"/>
    <xf numFmtId="168" fontId="0" fillId="0" borderId="6" xfId="0" applyNumberFormat="1" applyBorder="1"/>
    <xf numFmtId="169" fontId="0" fillId="0" borderId="6" xfId="0" applyNumberFormat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167" fontId="0" fillId="0" borderId="6" xfId="0" applyNumberFormat="1" applyBorder="1" applyAlignment="1">
      <alignment horizontal="center"/>
    </xf>
    <xf numFmtId="0" fontId="6" fillId="10" borderId="6" xfId="9" applyBorder="1" applyAlignment="1">
      <alignment horizontal="center"/>
    </xf>
    <xf numFmtId="0" fontId="6" fillId="10" borderId="6" xfId="9" applyBorder="1"/>
    <xf numFmtId="0" fontId="0" fillId="14" borderId="6" xfId="0" applyFill="1" applyBorder="1" applyAlignment="1">
      <alignment horizontal="center"/>
    </xf>
    <xf numFmtId="0" fontId="0" fillId="14" borderId="6" xfId="0" applyFill="1" applyBorder="1"/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2" fontId="12" fillId="0" borderId="0" xfId="0" applyNumberFormat="1" applyFont="1"/>
    <xf numFmtId="1" fontId="12" fillId="0" borderId="0" xfId="0" applyNumberFormat="1" applyFont="1"/>
    <xf numFmtId="169" fontId="12" fillId="0" borderId="0" xfId="0" applyNumberFormat="1" applyFont="1" applyAlignment="1">
      <alignment horizontal="center"/>
    </xf>
    <xf numFmtId="168" fontId="12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 applyAlignment="1" applyProtection="1">
      <alignment horizontal="left"/>
    </xf>
    <xf numFmtId="0" fontId="17" fillId="0" borderId="0" xfId="0" applyFont="1" applyAlignment="1" applyProtection="1">
      <alignment horizontal="left"/>
    </xf>
    <xf numFmtId="0" fontId="0" fillId="0" borderId="2" xfId="5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7" borderId="0" xfId="0" applyFont="1" applyFill="1"/>
    <xf numFmtId="0" fontId="19" fillId="0" borderId="0" xfId="0" applyFont="1" applyAlignment="1" applyProtection="1">
      <alignment horizontal="left"/>
    </xf>
    <xf numFmtId="0" fontId="19" fillId="7" borderId="0" xfId="0" applyFont="1" applyFill="1"/>
    <xf numFmtId="0" fontId="19" fillId="7" borderId="0" xfId="0" applyFont="1" applyFill="1" applyAlignment="1" applyProtection="1">
      <alignment horizontal="left"/>
    </xf>
    <xf numFmtId="0" fontId="0" fillId="8" borderId="0" xfId="0" applyFill="1" applyAlignment="1" applyProtection="1">
      <alignment horizontal="left"/>
    </xf>
    <xf numFmtId="164" fontId="0" fillId="8" borderId="0" xfId="1" applyNumberFormat="1" applyFont="1" applyFill="1" applyAlignment="1">
      <alignment horizontal="center"/>
    </xf>
    <xf numFmtId="2" fontId="0" fillId="8" borderId="0" xfId="0" applyNumberFormat="1" applyFill="1"/>
    <xf numFmtId="0" fontId="5" fillId="0" borderId="3" xfId="6" applyFont="1" applyFill="1" applyBorder="1" applyAlignment="1">
      <alignment horizontal="center" vertical="center"/>
    </xf>
    <xf numFmtId="0" fontId="5" fillId="0" borderId="4" xfId="6" applyFont="1" applyFill="1" applyBorder="1" applyAlignment="1">
      <alignment horizontal="center" vertical="center"/>
    </xf>
    <xf numFmtId="0" fontId="5" fillId="0" borderId="5" xfId="6" applyFont="1" applyFill="1" applyBorder="1" applyAlignment="1">
      <alignment horizontal="center" vertical="center"/>
    </xf>
    <xf numFmtId="0" fontId="1" fillId="13" borderId="6" xfId="12" applyBorder="1" applyAlignment="1">
      <alignment horizontal="center"/>
    </xf>
    <xf numFmtId="0" fontId="6" fillId="10" borderId="6" xfId="9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" fillId="11" borderId="6" xfId="10" applyBorder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Fill="1"/>
    <xf numFmtId="0" fontId="12" fillId="13" borderId="7" xfId="12" applyFont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68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/>
    <xf numFmtId="0" fontId="12" fillId="0" borderId="0" xfId="0" applyFont="1" applyFill="1" applyAlignment="1">
      <alignment horizontal="center" vertical="center"/>
    </xf>
    <xf numFmtId="168" fontId="12" fillId="0" borderId="0" xfId="0" applyNumberFormat="1" applyFont="1" applyFill="1" applyAlignment="1">
      <alignment horizontal="center" vertical="center"/>
    </xf>
  </cellXfs>
  <cellStyles count="13">
    <cellStyle name="20% - Énfasis2" xfId="10" builtinId="34"/>
    <cellStyle name="20% - Énfasis3" xfId="5" builtinId="38"/>
    <cellStyle name="20% - Énfasis4" xfId="11" builtinId="42"/>
    <cellStyle name="20% - Énfasis5" xfId="7" builtinId="46"/>
    <cellStyle name="20% - Énfasis6" xfId="12" builtinId="50"/>
    <cellStyle name="40% - Énfasis2" xfId="4" builtinId="35"/>
    <cellStyle name="40% - Énfasis5" xfId="8" builtinId="47"/>
    <cellStyle name="Énfasis1" xfId="9" builtinId="29"/>
    <cellStyle name="Énfasis4" xfId="6" builtinId="41"/>
    <cellStyle name="Normal" xfId="0" builtinId="0"/>
    <cellStyle name="Porcentaje" xfId="1" builtinId="5"/>
    <cellStyle name="Título" xfId="2" builtinId="15"/>
    <cellStyle name="Título 3" xfId="3" builtinId="18"/>
  </cellStyles>
  <dxfs count="5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0.0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0.0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0.0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0.0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0.0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0.0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0.0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0.0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5F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adiabatica sin</a:t>
            </a:r>
            <a:r>
              <a:rPr lang="en-US" baseline="0"/>
              <a:t> precalentar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Temperatura adiabatica de flama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'Air sin Precal'!$T$5:$T$8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'Air sin Precal'!$U$5:$U$8</c:f>
              <c:numCache>
                <c:formatCode>General</c:formatCode>
                <c:ptCount val="4"/>
                <c:pt idx="0">
                  <c:v>2010</c:v>
                </c:pt>
                <c:pt idx="1">
                  <c:v>1888</c:v>
                </c:pt>
                <c:pt idx="2">
                  <c:v>1776</c:v>
                </c:pt>
                <c:pt idx="3">
                  <c:v>1675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55-4D86-92A4-4E25AA167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78768"/>
        <c:axId val="520280016"/>
      </c:scatterChart>
      <c:valAx>
        <c:axId val="520278768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%Exceo</a:t>
                </a:r>
                <a:r>
                  <a:rPr lang="es-MX" baseline="0"/>
                  <a:t> de aire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0280016"/>
        <c:crosses val="autoZero"/>
        <c:crossBetween val="midCat"/>
      </c:valAx>
      <c:valAx>
        <c:axId val="5202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Temperatura</a:t>
                </a:r>
                <a:r>
                  <a:rPr lang="es-MX" baseline="0"/>
                  <a:t> Adia. Flama (°C)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02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0% exceso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'Air sin Precal'!$F$4:$F$7</c:f>
              <c:numCache>
                <c:formatCode>General</c:formatCode>
                <c:ptCount val="4"/>
                <c:pt idx="0">
                  <c:v>1.2</c:v>
                </c:pt>
                <c:pt idx="1">
                  <c:v>1.3</c:v>
                </c:pt>
                <c:pt idx="2">
                  <c:v>1.6</c:v>
                </c:pt>
                <c:pt idx="3">
                  <c:v>1.8</c:v>
                </c:pt>
              </c:numCache>
            </c:numRef>
          </c:xVal>
          <c:yVal>
            <c:numRef>
              <c:f>'Air sin Precal'!$D$4:$D$7</c:f>
              <c:numCache>
                <c:formatCode>General</c:formatCode>
                <c:ptCount val="4"/>
                <c:pt idx="0">
                  <c:v>178</c:v>
                </c:pt>
                <c:pt idx="1">
                  <c:v>344.9</c:v>
                </c:pt>
                <c:pt idx="2">
                  <c:v>696.6</c:v>
                </c:pt>
                <c:pt idx="3">
                  <c:v>857.8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8-48F0-AE27-62DBC7E130B5}"/>
            </c:ext>
          </c:extLst>
        </c:ser>
        <c:ser>
          <c:idx val="1"/>
          <c:order val="1"/>
          <c:tx>
            <c:v>10% exceso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'Air sin Precal'!$F$11:$F$14</c:f>
              <c:numCache>
                <c:formatCode>General</c:formatCode>
                <c:ptCount val="4"/>
                <c:pt idx="0">
                  <c:v>1.2</c:v>
                </c:pt>
                <c:pt idx="1">
                  <c:v>1.3</c:v>
                </c:pt>
                <c:pt idx="2">
                  <c:v>1.6</c:v>
                </c:pt>
                <c:pt idx="3">
                  <c:v>1.8</c:v>
                </c:pt>
              </c:numCache>
            </c:numRef>
          </c:xVal>
          <c:yVal>
            <c:numRef>
              <c:f>'Air sin Precal'!$D$11:$D$14</c:f>
              <c:numCache>
                <c:formatCode>General</c:formatCode>
                <c:ptCount val="4"/>
                <c:pt idx="0">
                  <c:v>168.7</c:v>
                </c:pt>
                <c:pt idx="1">
                  <c:v>322.3</c:v>
                </c:pt>
                <c:pt idx="2">
                  <c:v>649.29999999999995</c:v>
                </c:pt>
                <c:pt idx="3">
                  <c:v>799.6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F8-48F0-AE27-62DBC7E130B5}"/>
            </c:ext>
          </c:extLst>
        </c:ser>
        <c:ser>
          <c:idx val="2"/>
          <c:order val="2"/>
          <c:tx>
            <c:v>20% exceso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'Air sin Precal'!$F$20:$F$23</c:f>
              <c:numCache>
                <c:formatCode>General</c:formatCode>
                <c:ptCount val="4"/>
                <c:pt idx="0">
                  <c:v>1.2</c:v>
                </c:pt>
                <c:pt idx="1">
                  <c:v>1.3</c:v>
                </c:pt>
                <c:pt idx="2">
                  <c:v>1.6</c:v>
                </c:pt>
                <c:pt idx="3">
                  <c:v>1.8</c:v>
                </c:pt>
              </c:numCache>
            </c:numRef>
          </c:xVal>
          <c:yVal>
            <c:numRef>
              <c:f>'Air sin Precal'!$D$20:$D$23</c:f>
              <c:numCache>
                <c:formatCode>General</c:formatCode>
                <c:ptCount val="4"/>
                <c:pt idx="0">
                  <c:v>158.6</c:v>
                </c:pt>
                <c:pt idx="1">
                  <c:v>301.60000000000002</c:v>
                </c:pt>
                <c:pt idx="2">
                  <c:v>607.20000000000005</c:v>
                </c:pt>
                <c:pt idx="3">
                  <c:v>747.9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F8-48F0-AE27-62DBC7E130B5}"/>
            </c:ext>
          </c:extLst>
        </c:ser>
        <c:ser>
          <c:idx val="3"/>
          <c:order val="3"/>
          <c:tx>
            <c:v>30% exceso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'Air sin Precal'!$F$28:$F$31</c:f>
              <c:numCache>
                <c:formatCode>General</c:formatCode>
                <c:ptCount val="4"/>
                <c:pt idx="0">
                  <c:v>1.2</c:v>
                </c:pt>
                <c:pt idx="1">
                  <c:v>1.3</c:v>
                </c:pt>
                <c:pt idx="2">
                  <c:v>1.6</c:v>
                </c:pt>
                <c:pt idx="3">
                  <c:v>1.8</c:v>
                </c:pt>
              </c:numCache>
            </c:numRef>
          </c:xVal>
          <c:yVal>
            <c:numRef>
              <c:f>'Air sin Precal'!$D$28:$D$31</c:f>
              <c:numCache>
                <c:formatCode>General</c:formatCode>
                <c:ptCount val="4"/>
                <c:pt idx="0">
                  <c:v>150</c:v>
                </c:pt>
                <c:pt idx="1">
                  <c:v>283.60000000000002</c:v>
                </c:pt>
                <c:pt idx="2">
                  <c:v>570.4</c:v>
                </c:pt>
                <c:pt idx="3">
                  <c:v>700.2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F8-48F0-AE27-62DBC7E13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967280"/>
        <c:axId val="848966448"/>
      </c:scatterChart>
      <c:valAx>
        <c:axId val="848967280"/>
        <c:scaling>
          <c:orientation val="minMax"/>
          <c:max val="1.9"/>
          <c:min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Gas</a:t>
                </a:r>
                <a:r>
                  <a:rPr lang="es-MX" baseline="0"/>
                  <a:t> </a:t>
                </a:r>
                <a:r>
                  <a:rPr lang="es-MX"/>
                  <a:t>(kmol/h)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8966448"/>
        <c:crosses val="autoZero"/>
        <c:crossBetween val="midCat"/>
        <c:majorUnit val="0.1"/>
      </c:valAx>
      <c:valAx>
        <c:axId val="848966448"/>
        <c:scaling>
          <c:orientation val="minMax"/>
          <c:max val="9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Temperatura</a:t>
                </a:r>
                <a:r>
                  <a:rPr lang="es-MX" baseline="0"/>
                  <a:t> de Gases de combustión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896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540479864014221E-2"/>
          <c:y val="2.106041299352919E-2"/>
          <c:w val="0.86553116344327907"/>
          <c:h val="0.83014619831763792"/>
        </c:manualLayout>
      </c:layout>
      <c:scatterChart>
        <c:scatterStyle val="smoothMarker"/>
        <c:varyColors val="0"/>
        <c:ser>
          <c:idx val="0"/>
          <c:order val="0"/>
          <c:tx>
            <c:v>0% Exceso de aire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'Air sin Precal'!$D$4:$D$7</c:f>
              <c:numCache>
                <c:formatCode>General</c:formatCode>
                <c:ptCount val="4"/>
                <c:pt idx="0">
                  <c:v>178</c:v>
                </c:pt>
                <c:pt idx="1">
                  <c:v>344.9</c:v>
                </c:pt>
                <c:pt idx="2">
                  <c:v>696.6</c:v>
                </c:pt>
                <c:pt idx="3">
                  <c:v>857.8</c:v>
                </c:pt>
              </c:numCache>
            </c:numRef>
          </c:xVal>
          <c:yVal>
            <c:numRef>
              <c:f>'Air sin Precal'!$I$4:$I$7</c:f>
              <c:numCache>
                <c:formatCode>0.0</c:formatCode>
                <c:ptCount val="4"/>
                <c:pt idx="0">
                  <c:v>76.32393585619387</c:v>
                </c:pt>
                <c:pt idx="1">
                  <c:v>70.450896227905844</c:v>
                </c:pt>
                <c:pt idx="2">
                  <c:v>57.240873590494779</c:v>
                </c:pt>
                <c:pt idx="3">
                  <c:v>51.014494749641827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A8-4598-8DBD-1626A9E3C156}"/>
            </c:ext>
          </c:extLst>
        </c:ser>
        <c:ser>
          <c:idx val="1"/>
          <c:order val="1"/>
          <c:tx>
            <c:v>10% Excesi de aire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'Air sin Precal'!$D$11:$D$14</c:f>
              <c:numCache>
                <c:formatCode>General</c:formatCode>
                <c:ptCount val="4"/>
                <c:pt idx="0">
                  <c:v>168.7</c:v>
                </c:pt>
                <c:pt idx="1">
                  <c:v>322.3</c:v>
                </c:pt>
                <c:pt idx="2">
                  <c:v>649.29999999999995</c:v>
                </c:pt>
                <c:pt idx="3">
                  <c:v>799.6</c:v>
                </c:pt>
              </c:numCache>
            </c:numRef>
          </c:xVal>
          <c:yVal>
            <c:numRef>
              <c:f>'Air sin Precal'!$I$11:$I$14</c:f>
              <c:numCache>
                <c:formatCode>0.0</c:formatCode>
                <c:ptCount val="4"/>
                <c:pt idx="0">
                  <c:v>76.081305194685626</c:v>
                </c:pt>
                <c:pt idx="1">
                  <c:v>70.228897103212404</c:v>
                </c:pt>
                <c:pt idx="2">
                  <c:v>57.060978896293037</c:v>
                </c:pt>
                <c:pt idx="3">
                  <c:v>50.720870130456852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A8-4598-8DBD-1626A9E3C156}"/>
            </c:ext>
          </c:extLst>
        </c:ser>
        <c:ser>
          <c:idx val="2"/>
          <c:order val="2"/>
          <c:tx>
            <c:v>20% Exceso de aire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'Air sin Precal'!$D$20:$D$23</c:f>
              <c:numCache>
                <c:formatCode>General</c:formatCode>
                <c:ptCount val="4"/>
                <c:pt idx="0">
                  <c:v>158.6</c:v>
                </c:pt>
                <c:pt idx="1">
                  <c:v>301.60000000000002</c:v>
                </c:pt>
                <c:pt idx="2">
                  <c:v>607.20000000000005</c:v>
                </c:pt>
                <c:pt idx="3">
                  <c:v>747.9</c:v>
                </c:pt>
              </c:numCache>
            </c:numRef>
          </c:xVal>
          <c:yVal>
            <c:numRef>
              <c:f>'Air sin Precal'!$I$20:$I$23</c:f>
              <c:numCache>
                <c:formatCode>0.0</c:formatCode>
                <c:ptCount val="4"/>
                <c:pt idx="0">
                  <c:v>75.88972944347752</c:v>
                </c:pt>
                <c:pt idx="1">
                  <c:v>70.052198179936866</c:v>
                </c:pt>
                <c:pt idx="2">
                  <c:v>56.917297082882854</c:v>
                </c:pt>
                <c:pt idx="3">
                  <c:v>50.59315296265008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A8-4598-8DBD-1626A9E3C156}"/>
            </c:ext>
          </c:extLst>
        </c:ser>
        <c:ser>
          <c:idx val="3"/>
          <c:order val="3"/>
          <c:tx>
            <c:v>30% de exceso de aire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'Air sin Precal'!$D$28:$D$31</c:f>
              <c:numCache>
                <c:formatCode>General</c:formatCode>
                <c:ptCount val="4"/>
                <c:pt idx="0">
                  <c:v>150</c:v>
                </c:pt>
                <c:pt idx="1">
                  <c:v>283.60000000000002</c:v>
                </c:pt>
                <c:pt idx="2">
                  <c:v>570.4</c:v>
                </c:pt>
                <c:pt idx="3">
                  <c:v>700.2</c:v>
                </c:pt>
              </c:numCache>
            </c:numRef>
          </c:xVal>
          <c:yVal>
            <c:numRef>
              <c:f>'Air sin Precal'!$I$28:$I$31</c:f>
              <c:numCache>
                <c:formatCode>0.0</c:formatCode>
                <c:ptCount val="4"/>
                <c:pt idx="0">
                  <c:v>75.699074748214272</c:v>
                </c:pt>
                <c:pt idx="1">
                  <c:v>69.876104029532314</c:v>
                </c:pt>
                <c:pt idx="2">
                  <c:v>56.774306061160807</c:v>
                </c:pt>
                <c:pt idx="3">
                  <c:v>50.466380066891702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3A8-4598-8DBD-1626A9E3C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174608"/>
        <c:axId val="1325168784"/>
      </c:scatterChart>
      <c:valAx>
        <c:axId val="1325174608"/>
        <c:scaling>
          <c:orientation val="minMax"/>
          <c:min val="1.1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Temperatura</a:t>
                </a:r>
                <a:r>
                  <a:rPr lang="es-MX" baseline="0"/>
                  <a:t> de gases de chimenea (°C)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168784"/>
        <c:crosses val="autoZero"/>
        <c:crossBetween val="midCat"/>
      </c:valAx>
      <c:valAx>
        <c:axId val="1325168784"/>
        <c:scaling>
          <c:orientation val="minMax"/>
          <c:max val="77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Eficiencia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17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43253464284686"/>
          <c:y val="0.34038522467542337"/>
          <c:w val="0.186692907128785"/>
          <c:h val="0.19638003514542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56835627107503"/>
          <c:y val="0.12860630648315774"/>
          <c:w val="0.81390905039099959"/>
          <c:h val="0.69890374506510788"/>
        </c:manualLayout>
      </c:layout>
      <c:scatterChart>
        <c:scatterStyle val="smoothMarker"/>
        <c:varyColors val="0"/>
        <c:ser>
          <c:idx val="0"/>
          <c:order val="0"/>
          <c:tx>
            <c:v>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Datos!$B$3:$B$9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Datos!$K$3:$K$9</c:f>
              <c:numCache>
                <c:formatCode>0.0</c:formatCode>
                <c:ptCount val="7"/>
                <c:pt idx="0">
                  <c:v>85.538213047784836</c:v>
                </c:pt>
                <c:pt idx="1">
                  <c:v>85.986960536100469</c:v>
                </c:pt>
                <c:pt idx="2">
                  <c:v>86.41687945142877</c:v>
                </c:pt>
                <c:pt idx="3">
                  <c:v>86.828714777910861</c:v>
                </c:pt>
                <c:pt idx="4">
                  <c:v>87.223118147771274</c:v>
                </c:pt>
                <c:pt idx="5">
                  <c:v>87.600693374938558</c:v>
                </c:pt>
                <c:pt idx="6">
                  <c:v>87.961977440977222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B5-4115-A60B-B240BDBA385D}"/>
            </c:ext>
          </c:extLst>
        </c:ser>
        <c:ser>
          <c:idx val="1"/>
          <c:order val="1"/>
          <c:tx>
            <c:v>10%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Datos!$M$3:$M$9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Datos!$V$3:$V$9</c:f>
              <c:numCache>
                <c:formatCode>0.0</c:formatCode>
                <c:ptCount val="7"/>
                <c:pt idx="0">
                  <c:v>85.574611707867632</c:v>
                </c:pt>
                <c:pt idx="1">
                  <c:v>86.064118746106104</c:v>
                </c:pt>
                <c:pt idx="2">
                  <c:v>86.530765012006128</c:v>
                </c:pt>
                <c:pt idx="3">
                  <c:v>86.975073217761519</c:v>
                </c:pt>
                <c:pt idx="4">
                  <c:v>87.398279768072982</c:v>
                </c:pt>
                <c:pt idx="5">
                  <c:v>87.801352504280345</c:v>
                </c:pt>
                <c:pt idx="6">
                  <c:v>88.185196048574667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B5-4115-A60B-B240BDBA385D}"/>
            </c:ext>
          </c:extLst>
        </c:ser>
        <c:ser>
          <c:idx val="2"/>
          <c:order val="2"/>
          <c:tx>
            <c:v>20%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Datos!$X$3:$X$9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Datos!$AG$3:$AG$9</c:f>
              <c:numCache>
                <c:formatCode>0.0</c:formatCode>
                <c:ptCount val="7"/>
                <c:pt idx="0">
                  <c:v>85.671984383191656</c:v>
                </c:pt>
                <c:pt idx="1">
                  <c:v>86.200209979559645</c:v>
                </c:pt>
                <c:pt idx="2">
                  <c:v>86.700214216425337</c:v>
                </c:pt>
                <c:pt idx="3">
                  <c:v>87.174062915713662</c:v>
                </c:pt>
                <c:pt idx="4">
                  <c:v>87.622932073335178</c:v>
                </c:pt>
                <c:pt idx="5">
                  <c:v>88.048279363467515</c:v>
                </c:pt>
                <c:pt idx="6">
                  <c:v>88.451394720182748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B5-4115-A60B-B240BDBA385D}"/>
            </c:ext>
          </c:extLst>
        </c:ser>
        <c:ser>
          <c:idx val="3"/>
          <c:order val="3"/>
          <c:tx>
            <c:v>30%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Datos!$AI$3:$AI$9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Datos!$AR$3:$AR$9</c:f>
              <c:numCache>
                <c:formatCode>0.0</c:formatCode>
                <c:ptCount val="7"/>
                <c:pt idx="0">
                  <c:v>85.769061208428155</c:v>
                </c:pt>
                <c:pt idx="1">
                  <c:v>86.334847440849188</c:v>
                </c:pt>
                <c:pt idx="2">
                  <c:v>86.867416160008474</c:v>
                </c:pt>
                <c:pt idx="3">
                  <c:v>87.369108576007363</c:v>
                </c:pt>
                <c:pt idx="4">
                  <c:v>87.841975486597164</c:v>
                </c:pt>
                <c:pt idx="5">
                  <c:v>88.287875004777902</c:v>
                </c:pt>
                <c:pt idx="6">
                  <c:v>88.708504162512142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B5-4115-A60B-B240BDBA3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01216"/>
        <c:axId val="555399136"/>
      </c:scatterChart>
      <c:valAx>
        <c:axId val="55540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Precalentamiento 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5399136"/>
        <c:crosses val="autoZero"/>
        <c:crossBetween val="midCat"/>
      </c:valAx>
      <c:valAx>
        <c:axId val="555399136"/>
        <c:scaling>
          <c:orientation val="minMax"/>
          <c:max val="89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Eficiencia</a:t>
                </a:r>
              </a:p>
            </c:rich>
          </c:tx>
          <c:layout>
            <c:manualLayout>
              <c:xMode val="edge"/>
              <c:yMode val="edge"/>
              <c:x val="1.7485627332604003E-2"/>
              <c:y val="0.39624839138874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540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3420771374418679"/>
          <c:y val="0.50969529085872578"/>
          <c:w val="0.10459754280286147"/>
          <c:h val="0.24699951287252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415048118985131"/>
          <c:y val="5.0925925925925923E-2"/>
          <c:w val="0.7662939632545932"/>
          <c:h val="0.7394517351997667"/>
        </c:manualLayout>
      </c:layout>
      <c:scatterChart>
        <c:scatterStyle val="smoothMarker"/>
        <c:varyColors val="0"/>
        <c:ser>
          <c:idx val="0"/>
          <c:order val="0"/>
          <c:tx>
            <c:v>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Datos!$B$3:$B$9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Datos!$C$3:$C$9</c:f>
              <c:numCache>
                <c:formatCode>0.00</c:formatCode>
                <c:ptCount val="7"/>
                <c:pt idx="0">
                  <c:v>2051</c:v>
                </c:pt>
                <c:pt idx="1">
                  <c:v>2107.3025162171798</c:v>
                </c:pt>
                <c:pt idx="2">
                  <c:v>2163.27549577842</c:v>
                </c:pt>
                <c:pt idx="3">
                  <c:v>2218.7357156466101</c:v>
                </c:pt>
                <c:pt idx="4">
                  <c:v>2273.5933327080602</c:v>
                </c:pt>
                <c:pt idx="5">
                  <c:v>2327.7049729032101</c:v>
                </c:pt>
                <c:pt idx="6">
                  <c:v>2380.9051394758699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E9-4ABD-BD53-1CFD3A096234}"/>
            </c:ext>
          </c:extLst>
        </c:ser>
        <c:ser>
          <c:idx val="1"/>
          <c:order val="1"/>
          <c:tx>
            <c:v>10%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Datos!$M$3:$M$9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Datos!$N$3:$N$9</c:f>
              <c:numCache>
                <c:formatCode>0.00</c:formatCode>
                <c:ptCount val="7"/>
                <c:pt idx="0">
                  <c:v>1931.67614644686</c:v>
                </c:pt>
                <c:pt idx="1">
                  <c:v>1992</c:v>
                </c:pt>
                <c:pt idx="2">
                  <c:v>2052.6824389754402</c:v>
                </c:pt>
                <c:pt idx="3">
                  <c:v>2112.8182698416199</c:v>
                </c:pt>
                <c:pt idx="4">
                  <c:v>2172.4732981765801</c:v>
                </c:pt>
                <c:pt idx="5">
                  <c:v>2231.46918336009</c:v>
                </c:pt>
                <c:pt idx="6">
                  <c:v>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E9-4ABD-BD53-1CFD3A096234}"/>
            </c:ext>
          </c:extLst>
        </c:ser>
        <c:ser>
          <c:idx val="2"/>
          <c:order val="2"/>
          <c:tx>
            <c:v>20%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Datos!$X$3:$X$9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Datos!$Y$3:$Y$9</c:f>
              <c:numCache>
                <c:formatCode>0.00</c:formatCode>
                <c:ptCount val="7"/>
                <c:pt idx="0">
                  <c:v>1822.1151297128599</c:v>
                </c:pt>
                <c:pt idx="1">
                  <c:v>1886.0818077204799</c:v>
                </c:pt>
                <c:pt idx="2">
                  <c:v>1950</c:v>
                </c:pt>
                <c:pt idx="3">
                  <c:v>2014.0675792332199</c:v>
                </c:pt>
                <c:pt idx="4">
                  <c:v>2077.7084167684202</c:v>
                </c:pt>
                <c:pt idx="5">
                  <c:v>2140.8464297800701</c:v>
                </c:pt>
                <c:pt idx="6">
                  <c:v>2203.28102891867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E9-4ABD-BD53-1CFD3A096234}"/>
            </c:ext>
          </c:extLst>
        </c:ser>
        <c:ser>
          <c:idx val="3"/>
          <c:order val="3"/>
          <c:tx>
            <c:v>30%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Datos!$AI$3:$AI$9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Datos!$AJ$3:$AJ$9</c:f>
              <c:numCache>
                <c:formatCode>0.00</c:formatCode>
                <c:ptCount val="7"/>
                <c:pt idx="0">
                  <c:v>1723.22175903846</c:v>
                </c:pt>
                <c:pt idx="1">
                  <c:v>1789.87019560311</c:v>
                </c:pt>
                <c:pt idx="2">
                  <c:v>1856.7880022484701</c:v>
                </c:pt>
                <c:pt idx="3">
                  <c:v>1924</c:v>
                </c:pt>
                <c:pt idx="4">
                  <c:v>1990.69345170476</c:v>
                </c:pt>
                <c:pt idx="5">
                  <c:v>2057.2642316785</c:v>
                </c:pt>
                <c:pt idx="6">
                  <c:v>2123.2891758466299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E9-4ABD-BD53-1CFD3A096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177936"/>
        <c:axId val="1325176688"/>
      </c:scatterChart>
      <c:valAx>
        <c:axId val="132517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Precalentamiento (°C)</a:t>
                </a:r>
              </a:p>
            </c:rich>
          </c:tx>
          <c:layout>
            <c:manualLayout>
              <c:xMode val="edge"/>
              <c:yMode val="edge"/>
              <c:x val="0.4263390201224847"/>
              <c:y val="0.91166593759113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176688"/>
        <c:crosses val="autoZero"/>
        <c:crossBetween val="midCat"/>
      </c:valAx>
      <c:valAx>
        <c:axId val="1325176688"/>
        <c:scaling>
          <c:orientation val="minMax"/>
          <c:max val="2400"/>
          <c:min val="1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Tem.</a:t>
                </a:r>
                <a:r>
                  <a:rPr lang="es-MX" baseline="0"/>
                  <a:t> de flama </a:t>
                </a:r>
                <a:br>
                  <a:rPr lang="es-MX" baseline="0"/>
                </a:br>
                <a:r>
                  <a:rPr lang="es-MX" baseline="0"/>
                  <a:t>Adiabaica (°C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1.05417760279965E-2"/>
              <c:y val="0.29095253718285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17793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278871391076128"/>
          <c:y val="0.51446704578594338"/>
          <c:w val="0.18997812773403328"/>
          <c:h val="0.2957181393992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05314960629922"/>
          <c:y val="0.16203703703703703"/>
          <c:w val="0.79150240594925625"/>
          <c:h val="0.67926655001458147"/>
        </c:manualLayout>
      </c:layout>
      <c:scatterChart>
        <c:scatterStyle val="smoothMarker"/>
        <c:varyColors val="0"/>
        <c:ser>
          <c:idx val="0"/>
          <c:order val="0"/>
          <c:tx>
            <c:v>1.2 kgmol/h gas natural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Datos!$Y$35:$Y$38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Datos!$Z$35:$Z$38</c:f>
              <c:numCache>
                <c:formatCode>General</c:formatCode>
                <c:ptCount val="4"/>
                <c:pt idx="0">
                  <c:v>178.8</c:v>
                </c:pt>
                <c:pt idx="1">
                  <c:v>168.682872584823</c:v>
                </c:pt>
                <c:pt idx="2">
                  <c:v>158.57889940277099</c:v>
                </c:pt>
                <c:pt idx="3">
                  <c:v>149.82494036284299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D2-4574-92D0-52230FD46E4F}"/>
            </c:ext>
          </c:extLst>
        </c:ser>
        <c:ser>
          <c:idx val="1"/>
          <c:order val="1"/>
          <c:tx>
            <c:v>1.3 kgmol/h gas natural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Datos!$AA$35:$AA$38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Datos!$AB$35:$AB$38</c:f>
              <c:numCache>
                <c:formatCode>General</c:formatCode>
                <c:ptCount val="4"/>
                <c:pt idx="0">
                  <c:v>344.78427137838497</c:v>
                </c:pt>
                <c:pt idx="1">
                  <c:v>322.3</c:v>
                </c:pt>
                <c:pt idx="2">
                  <c:v>301.57382989900998</c:v>
                </c:pt>
                <c:pt idx="3">
                  <c:v>283.526379906388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D2-4574-92D0-52230FD46E4F}"/>
            </c:ext>
          </c:extLst>
        </c:ser>
        <c:ser>
          <c:idx val="2"/>
          <c:order val="2"/>
          <c:tx>
            <c:v>1.6 kgmol/h gas natural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Datos!$AC$35:$AC$38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Datos!$AD$35:$AD$38</c:f>
              <c:numCache>
                <c:formatCode>General</c:formatCode>
                <c:ptCount val="4"/>
                <c:pt idx="0">
                  <c:v>696.63208313783605</c:v>
                </c:pt>
                <c:pt idx="1">
                  <c:v>649.34745832548901</c:v>
                </c:pt>
                <c:pt idx="2">
                  <c:v>607.29138785315399</c:v>
                </c:pt>
                <c:pt idx="3">
                  <c:v>570.39256926302596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D2-4574-92D0-52230FD46E4F}"/>
            </c:ext>
          </c:extLst>
        </c:ser>
        <c:ser>
          <c:idx val="3"/>
          <c:order val="3"/>
          <c:tx>
            <c:v>1.8 kgmol/h gas natural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Datos!$AE$35:$AE$38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Datos!$AF$35:$AF$38</c:f>
              <c:numCache>
                <c:formatCode>General</c:formatCode>
                <c:ptCount val="4"/>
                <c:pt idx="0">
                  <c:v>857.8</c:v>
                </c:pt>
                <c:pt idx="1">
                  <c:v>799.44417939758398</c:v>
                </c:pt>
                <c:pt idx="2">
                  <c:v>748.048936884554</c:v>
                </c:pt>
                <c:pt idx="3">
                  <c:v>702.84649935278799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D2-4574-92D0-52230FD46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770224"/>
        <c:axId val="1305771056"/>
      </c:scatterChart>
      <c:valAx>
        <c:axId val="130577022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% Exceso</a:t>
                </a:r>
                <a:r>
                  <a:rPr lang="es-MX" baseline="0"/>
                  <a:t> de aire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5771056"/>
        <c:crosses val="autoZero"/>
        <c:crossBetween val="midCat"/>
      </c:valAx>
      <c:valAx>
        <c:axId val="130577105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Tem. de </a:t>
                </a:r>
                <a:br>
                  <a:rPr lang="es-MX"/>
                </a:br>
                <a:r>
                  <a:rPr lang="es-MX"/>
                  <a:t>gases</a:t>
                </a:r>
                <a:r>
                  <a:rPr lang="es-MX" baseline="0"/>
                  <a:t> de chimenea (°C)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0999999999999998E-2"/>
              <c:y val="0.27054753572470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577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891557305336837"/>
          <c:y val="2.3148148148148147E-2"/>
          <c:w val="0.61085591451072441"/>
          <c:h val="0.12438106014432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32840907974377"/>
          <c:y val="2.9060962821715129E-2"/>
          <c:w val="0.65695171295974508"/>
          <c:h val="0.79776974380408161"/>
        </c:manualLayout>
      </c:layout>
      <c:scatterChart>
        <c:scatterStyle val="smoothMarker"/>
        <c:varyColors val="0"/>
        <c:ser>
          <c:idx val="0"/>
          <c:order val="0"/>
          <c:tx>
            <c:v>T=100°C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Datos!$I$35:$I$38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Datos!$J$35:$J$38</c:f>
              <c:numCache>
                <c:formatCode>General</c:formatCode>
                <c:ptCount val="4"/>
                <c:pt idx="0">
                  <c:v>2051</c:v>
                </c:pt>
                <c:pt idx="1">
                  <c:v>1931.67614644686</c:v>
                </c:pt>
                <c:pt idx="2">
                  <c:v>1822.1151297128599</c:v>
                </c:pt>
                <c:pt idx="3">
                  <c:v>1723.22175903846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55-4A54-930E-7055C1850DA1}"/>
            </c:ext>
          </c:extLst>
        </c:ser>
        <c:ser>
          <c:idx val="1"/>
          <c:order val="1"/>
          <c:tx>
            <c:v>T=200°C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Datos!$K$35:$K$38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Datos!$L$36:$L$39</c:f>
              <c:numCache>
                <c:formatCode>General</c:formatCode>
                <c:ptCount val="4"/>
                <c:pt idx="0">
                  <c:v>2107.3025162171798</c:v>
                </c:pt>
                <c:pt idx="1">
                  <c:v>1992</c:v>
                </c:pt>
                <c:pt idx="2">
                  <c:v>1886.0818077204799</c:v>
                </c:pt>
                <c:pt idx="3">
                  <c:v>1789.87019560311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B55-4A54-930E-7055C1850DA1}"/>
            </c:ext>
          </c:extLst>
        </c:ser>
        <c:ser>
          <c:idx val="2"/>
          <c:order val="2"/>
          <c:tx>
            <c:v>T=300°C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Datos!$M$35:$M$38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Datos!$N$35:$N$38</c:f>
              <c:numCache>
                <c:formatCode>General</c:formatCode>
                <c:ptCount val="4"/>
                <c:pt idx="0">
                  <c:v>2163.27549577842</c:v>
                </c:pt>
                <c:pt idx="1">
                  <c:v>2052.6824389754402</c:v>
                </c:pt>
                <c:pt idx="2">
                  <c:v>1950</c:v>
                </c:pt>
                <c:pt idx="3">
                  <c:v>1856.7880022484701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B55-4A54-930E-7055C1850DA1}"/>
            </c:ext>
          </c:extLst>
        </c:ser>
        <c:ser>
          <c:idx val="3"/>
          <c:order val="3"/>
          <c:tx>
            <c:v>T=400°C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Datos!$O$35:$O$38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Datos!$P$35:$P$38</c:f>
              <c:numCache>
                <c:formatCode>General</c:formatCode>
                <c:ptCount val="4"/>
                <c:pt idx="0">
                  <c:v>2218.7357156466101</c:v>
                </c:pt>
                <c:pt idx="1">
                  <c:v>2112.8182698416199</c:v>
                </c:pt>
                <c:pt idx="2">
                  <c:v>2014.0675792332199</c:v>
                </c:pt>
                <c:pt idx="3">
                  <c:v>1924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B55-4A54-930E-7055C1850DA1}"/>
            </c:ext>
          </c:extLst>
        </c:ser>
        <c:ser>
          <c:idx val="4"/>
          <c:order val="4"/>
          <c:tx>
            <c:v>T=500°C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Datos!$Q$35:$Q$38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Datos!$R$35:$R$38</c:f>
              <c:numCache>
                <c:formatCode>General</c:formatCode>
                <c:ptCount val="4"/>
                <c:pt idx="0">
                  <c:v>2273.5933327080602</c:v>
                </c:pt>
                <c:pt idx="1">
                  <c:v>2172.4732981765801</c:v>
                </c:pt>
                <c:pt idx="2">
                  <c:v>2077.7084167684202</c:v>
                </c:pt>
                <c:pt idx="3">
                  <c:v>1990.69345170476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B55-4A54-930E-7055C1850DA1}"/>
            </c:ext>
          </c:extLst>
        </c:ser>
        <c:ser>
          <c:idx val="5"/>
          <c:order val="5"/>
          <c:tx>
            <c:v>T=600°C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Datos!$S$35:$S$38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Datos!$T$35:$T$38</c:f>
              <c:numCache>
                <c:formatCode>General</c:formatCode>
                <c:ptCount val="4"/>
                <c:pt idx="0">
                  <c:v>2327.7049729032101</c:v>
                </c:pt>
                <c:pt idx="1">
                  <c:v>2231.46918336009</c:v>
                </c:pt>
                <c:pt idx="2">
                  <c:v>2140.8464297800701</c:v>
                </c:pt>
                <c:pt idx="3">
                  <c:v>2057.2642316785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B55-4A54-930E-7055C1850DA1}"/>
            </c:ext>
          </c:extLst>
        </c:ser>
        <c:ser>
          <c:idx val="6"/>
          <c:order val="6"/>
          <c:tx>
            <c:v>T=700°C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Datos!$U$35:$U$38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Datos!$V$35:$V$38</c:f>
              <c:numCache>
                <c:formatCode>General</c:formatCode>
                <c:ptCount val="4"/>
                <c:pt idx="0">
                  <c:v>2380.9051394758699</c:v>
                </c:pt>
                <c:pt idx="1">
                  <c:v>2289</c:v>
                </c:pt>
                <c:pt idx="2">
                  <c:v>2203.28102891867</c:v>
                </c:pt>
                <c:pt idx="3">
                  <c:v>2123.2891758466299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B55-4A54-930E-7055C1850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229840"/>
        <c:axId val="1298231920"/>
      </c:scatterChart>
      <c:valAx>
        <c:axId val="1298229840"/>
        <c:scaling>
          <c:orientation val="minMax"/>
          <c:max val="3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%</a:t>
                </a:r>
                <a:r>
                  <a:rPr lang="es-MX" baseline="0"/>
                  <a:t> exceso de aire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8231920"/>
        <c:crosses val="autoZero"/>
        <c:crossBetween val="midCat"/>
      </c:valAx>
      <c:valAx>
        <c:axId val="1298231920"/>
        <c:scaling>
          <c:orientation val="minMax"/>
          <c:max val="2400"/>
          <c:min val="1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Temp.</a:t>
                </a:r>
                <a:r>
                  <a:rPr lang="es-MX" baseline="0"/>
                  <a:t> adiabatica </a:t>
                </a:r>
                <a:br>
                  <a:rPr lang="es-MX" baseline="0"/>
                </a:br>
                <a:r>
                  <a:rPr lang="es-MX" baseline="0"/>
                  <a:t>de flama (°C)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822984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415048118985131"/>
          <c:y val="5.0925925925925923E-2"/>
          <c:w val="0.7662939632545932"/>
          <c:h val="0.7394517351997667"/>
        </c:manualLayout>
      </c:layout>
      <c:scatterChart>
        <c:scatterStyle val="smoothMarker"/>
        <c:varyColors val="0"/>
        <c:ser>
          <c:idx val="0"/>
          <c:order val="0"/>
          <c:tx>
            <c:v>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Datos!$B$3:$B$9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Datos!$C$3:$C$9</c:f>
              <c:numCache>
                <c:formatCode>0.00</c:formatCode>
                <c:ptCount val="7"/>
                <c:pt idx="0">
                  <c:v>2051</c:v>
                </c:pt>
                <c:pt idx="1">
                  <c:v>2107.3025162171798</c:v>
                </c:pt>
                <c:pt idx="2">
                  <c:v>2163.27549577842</c:v>
                </c:pt>
                <c:pt idx="3">
                  <c:v>2218.7357156466101</c:v>
                </c:pt>
                <c:pt idx="4">
                  <c:v>2273.5933327080602</c:v>
                </c:pt>
                <c:pt idx="5">
                  <c:v>2327.7049729032101</c:v>
                </c:pt>
                <c:pt idx="6">
                  <c:v>2380.9051394758699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EA-49D7-8941-3449AC3E3D52}"/>
            </c:ext>
          </c:extLst>
        </c:ser>
        <c:ser>
          <c:idx val="1"/>
          <c:order val="1"/>
          <c:tx>
            <c:v>10%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Datos!$M$3:$M$9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Datos!$N$3:$N$9</c:f>
              <c:numCache>
                <c:formatCode>0.00</c:formatCode>
                <c:ptCount val="7"/>
                <c:pt idx="0">
                  <c:v>1931.67614644686</c:v>
                </c:pt>
                <c:pt idx="1">
                  <c:v>1992</c:v>
                </c:pt>
                <c:pt idx="2">
                  <c:v>2052.6824389754402</c:v>
                </c:pt>
                <c:pt idx="3">
                  <c:v>2112.8182698416199</c:v>
                </c:pt>
                <c:pt idx="4">
                  <c:v>2172.4732981765801</c:v>
                </c:pt>
                <c:pt idx="5">
                  <c:v>2231.46918336009</c:v>
                </c:pt>
                <c:pt idx="6">
                  <c:v>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EA-49D7-8941-3449AC3E3D52}"/>
            </c:ext>
          </c:extLst>
        </c:ser>
        <c:ser>
          <c:idx val="2"/>
          <c:order val="2"/>
          <c:tx>
            <c:v>20%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Datos!$X$3:$X$9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Datos!$Y$3:$Y$9</c:f>
              <c:numCache>
                <c:formatCode>0.00</c:formatCode>
                <c:ptCount val="7"/>
                <c:pt idx="0">
                  <c:v>1822.1151297128599</c:v>
                </c:pt>
                <c:pt idx="1">
                  <c:v>1886.0818077204799</c:v>
                </c:pt>
                <c:pt idx="2">
                  <c:v>1950</c:v>
                </c:pt>
                <c:pt idx="3">
                  <c:v>2014.0675792332199</c:v>
                </c:pt>
                <c:pt idx="4">
                  <c:v>2077.7084167684202</c:v>
                </c:pt>
                <c:pt idx="5">
                  <c:v>2140.8464297800701</c:v>
                </c:pt>
                <c:pt idx="6">
                  <c:v>2203.28102891867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EA-49D7-8941-3449AC3E3D52}"/>
            </c:ext>
          </c:extLst>
        </c:ser>
        <c:ser>
          <c:idx val="3"/>
          <c:order val="3"/>
          <c:tx>
            <c:v>30%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Datos!$AI$3:$AI$9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Datos!$AJ$3:$AJ$9</c:f>
              <c:numCache>
                <c:formatCode>0.00</c:formatCode>
                <c:ptCount val="7"/>
                <c:pt idx="0">
                  <c:v>1723.22175903846</c:v>
                </c:pt>
                <c:pt idx="1">
                  <c:v>1789.87019560311</c:v>
                </c:pt>
                <c:pt idx="2">
                  <c:v>1856.7880022484701</c:v>
                </c:pt>
                <c:pt idx="3">
                  <c:v>1924</c:v>
                </c:pt>
                <c:pt idx="4">
                  <c:v>1990.69345170476</c:v>
                </c:pt>
                <c:pt idx="5">
                  <c:v>2057.2642316785</c:v>
                </c:pt>
                <c:pt idx="6">
                  <c:v>2123.2891758466299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EA-49D7-8941-3449AC3E3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177936"/>
        <c:axId val="1325176688"/>
      </c:scatterChart>
      <c:valAx>
        <c:axId val="132517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Precalentamiento (°C)</a:t>
                </a:r>
              </a:p>
            </c:rich>
          </c:tx>
          <c:layout>
            <c:manualLayout>
              <c:xMode val="edge"/>
              <c:yMode val="edge"/>
              <c:x val="0.4263390201224847"/>
              <c:y val="0.91166593759113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176688"/>
        <c:crosses val="autoZero"/>
        <c:crossBetween val="midCat"/>
      </c:valAx>
      <c:valAx>
        <c:axId val="1325176688"/>
        <c:scaling>
          <c:orientation val="minMax"/>
          <c:max val="2400"/>
          <c:min val="1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Tem.</a:t>
                </a:r>
                <a:r>
                  <a:rPr lang="es-MX" baseline="0"/>
                  <a:t> de flama </a:t>
                </a:r>
                <a:br>
                  <a:rPr lang="es-MX" baseline="0"/>
                </a:br>
                <a:r>
                  <a:rPr lang="es-MX" baseline="0"/>
                  <a:t>Adiabaica (°C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1.05417760279965E-2"/>
              <c:y val="0.29095253718285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17793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278871391076128"/>
          <c:y val="0.51446704578594338"/>
          <c:w val="0.18997812773403328"/>
          <c:h val="0.2957181393992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618123</xdr:colOff>
      <xdr:row>12</xdr:row>
      <xdr:rowOff>30915</xdr:rowOff>
    </xdr:from>
    <xdr:to>
      <xdr:col>26</xdr:col>
      <xdr:colOff>44284</xdr:colOff>
      <xdr:row>27</xdr:row>
      <xdr:rowOff>107114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6182</xdr:colOff>
      <xdr:row>25</xdr:row>
      <xdr:rowOff>109452</xdr:rowOff>
    </xdr:from>
    <xdr:to>
      <xdr:col>17</xdr:col>
      <xdr:colOff>568157</xdr:colOff>
      <xdr:row>51</xdr:row>
      <xdr:rowOff>118977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693653</xdr:colOff>
      <xdr:row>1</xdr:row>
      <xdr:rowOff>83217</xdr:rowOff>
    </xdr:from>
    <xdr:to>
      <xdr:col>18</xdr:col>
      <xdr:colOff>29744</xdr:colOff>
      <xdr:row>23</xdr:row>
      <xdr:rowOff>162258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723901</xdr:colOff>
      <xdr:row>42</xdr:row>
      <xdr:rowOff>70757</xdr:rowOff>
    </xdr:from>
    <xdr:to>
      <xdr:col>14</xdr:col>
      <xdr:colOff>58512</xdr:colOff>
      <xdr:row>59</xdr:row>
      <xdr:rowOff>134711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742950</xdr:colOff>
      <xdr:row>42</xdr:row>
      <xdr:rowOff>125185</xdr:rowOff>
    </xdr:from>
    <xdr:to>
      <xdr:col>20</xdr:col>
      <xdr:colOff>144236</xdr:colOff>
      <xdr:row>59</xdr:row>
      <xdr:rowOff>179613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772885</xdr:colOff>
      <xdr:row>42</xdr:row>
      <xdr:rowOff>136070</xdr:rowOff>
    </xdr:from>
    <xdr:to>
      <xdr:col>26</xdr:col>
      <xdr:colOff>473528</xdr:colOff>
      <xdr:row>60</xdr:row>
      <xdr:rowOff>-1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41</xdr:row>
      <xdr:rowOff>152400</xdr:rowOff>
    </xdr:from>
    <xdr:to>
      <xdr:col>6</xdr:col>
      <xdr:colOff>704850</xdr:colOff>
      <xdr:row>59</xdr:row>
      <xdr:rowOff>108857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64</xdr:row>
      <xdr:rowOff>0</xdr:rowOff>
    </xdr:from>
    <xdr:to>
      <xdr:col>18</xdr:col>
      <xdr:colOff>4536</xdr:colOff>
      <xdr:row>81</xdr:row>
      <xdr:rowOff>54428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B35:E47" totalsRowShown="0" headerRowDxfId="4" dataDxfId="7" headerRowBorderDxfId="5" tableBorderDxfId="6" headerRowCellStyle="20% - Énfasis6">
  <autoFilter ref="B35:E47">
    <filterColumn colId="0" hiddenButton="1"/>
    <filterColumn colId="1" hiddenButton="1"/>
    <filterColumn colId="2" hiddenButton="1"/>
    <filterColumn colId="3" hiddenButton="1"/>
  </autoFilter>
  <tableColumns count="4">
    <tableColumn id="1" name="% exceso aire" dataDxfId="3"/>
    <tableColumn id="2" name="Tem. Adia Flama" dataDxfId="2"/>
    <tableColumn id="3" name="M gas (kmol/h)" dataDxfId="1"/>
    <tableColumn id="4" name="Eficiencia" dataDxfId="0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2:K30" totalsRowShown="0" headerRowDxfId="55" dataDxfId="54">
  <autoFilter ref="B2:K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B3:L31">
    <sortCondition ref="G2:G31"/>
  </sortState>
  <tableColumns count="10">
    <tableColumn id="2" name="Precalentamiento (°C)" dataDxfId="53"/>
    <tableColumn id="3" name="Tem. Adia Flama (°C)" dataDxfId="52"/>
    <tableColumn id="4" name="Tem. cProceso (°C)" dataDxfId="51"/>
    <tableColumn id="5" name="Tem. Gases de chimenea (°C)" dataDxfId="50"/>
    <tableColumn id="6" name="M aire (kgmol/h)" dataDxfId="49"/>
    <tableColumn id="7" name="M gas (kgmol/h)" dataDxfId="48"/>
    <tableColumn id="8" name="Q (MJ/h)" dataDxfId="47"/>
    <tableColumn id="9" name="Q Aire (KJ/h)" dataDxfId="46"/>
    <tableColumn id="10" name="Q total (KJ/h)" dataDxfId="45"/>
    <tableColumn id="11" name="Eficiencia (%)" dataDxfId="44">
      <calculatedColumnFormula>(H3*1000+I3)/J3*100</calculatedColumnFormula>
    </tableColumn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X2:AG30" totalsRowShown="0" headerRowDxfId="43" dataDxfId="42">
  <autoFilter ref="X2:AG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X3:AH31">
    <sortCondition ref="AC33:AC62"/>
  </sortState>
  <tableColumns count="10">
    <tableColumn id="2" name="Precalentamiento (°C)" dataDxfId="41"/>
    <tableColumn id="3" name="Tem. Adia Flama (°C)" dataDxfId="40"/>
    <tableColumn id="4" name="Tem. cProceso (°C)" dataDxfId="39"/>
    <tableColumn id="5" name="Tem. Gases de chimenea (°C)" dataDxfId="38"/>
    <tableColumn id="6" name="M aire (kgmol/h)" dataDxfId="37"/>
    <tableColumn id="7" name="M gas (kgmol/h)" dataDxfId="36"/>
    <tableColumn id="8" name="Q (MJ/h)" dataDxfId="35"/>
    <tableColumn id="9" name="Q Aire (KJ/h)" dataDxfId="34"/>
    <tableColumn id="10" name="Q total (KJ/h)" dataDxfId="33"/>
    <tableColumn id="11" name="Eficiencia (%)" dataDxfId="32">
      <calculatedColumnFormula>(AD3*1000+AE3)/AF3*100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M2:V30" totalsRowShown="0" headerRowDxfId="31" dataDxfId="30">
  <autoFilter ref="M2:V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M3:W31">
    <sortCondition ref="R2:R31"/>
  </sortState>
  <tableColumns count="10">
    <tableColumn id="2" name="Precalentamiento (°C)" dataDxfId="29"/>
    <tableColumn id="3" name="Tem. Adia Flama (°C)" dataDxfId="28"/>
    <tableColumn id="4" name="Tem. cProceso (°C)" dataDxfId="27"/>
    <tableColumn id="5" name="Tem. Gases de chimenea (°C)" dataDxfId="26"/>
    <tableColumn id="6" name="M aire (kgmol/h)" dataDxfId="25"/>
    <tableColumn id="7" name="M gas (kgmol/h)" dataDxfId="24"/>
    <tableColumn id="8" name="Q (MJ/h)" dataDxfId="23"/>
    <tableColumn id="9" name="Q Aire (KJ/h)" dataDxfId="22"/>
    <tableColumn id="10" name="Q total (KJ/h)" dataDxfId="21"/>
    <tableColumn id="11" name="Eficiencia (%)" dataDxfId="2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I2:AR30" totalsRowShown="0" headerRowDxfId="19" dataDxfId="18">
  <autoFilter ref="AI2:AR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I3:AS31">
    <sortCondition ref="AN33:AN62"/>
  </sortState>
  <tableColumns count="10">
    <tableColumn id="2" name="Precalentamiento (°C)" dataDxfId="17"/>
    <tableColumn id="3" name="Tem. Adia Flama (°C)" dataDxfId="16"/>
    <tableColumn id="4" name="Tem. cProceso (°C)" dataDxfId="15"/>
    <tableColumn id="5" name="Tem. Gases de chimenea (°C)" dataDxfId="14"/>
    <tableColumn id="6" name="M aire (kgmol/h)" dataDxfId="13"/>
    <tableColumn id="7" name="M gas (kgmol/h)" dataDxfId="12"/>
    <tableColumn id="8" name="Q (MJ/h)" dataDxfId="11"/>
    <tableColumn id="9" name="Q Aire (KJ/h)" dataDxfId="10"/>
    <tableColumn id="10" name="Q total (KJ/h)" dataDxfId="9"/>
    <tableColumn id="11" name="Eficiencia (%)" dataDxfId="8">
      <calculatedColumnFormula>(AO3*1000+AP3)/AQ3*100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T125"/>
  <sheetViews>
    <sheetView zoomScale="60" zoomScaleNormal="80" workbookViewId="0">
      <selection activeCell="J39" sqref="J39"/>
    </sheetView>
  </sheetViews>
  <sheetFormatPr baseColWidth="10" defaultRowHeight="15" x14ac:dyDescent="0.25"/>
  <cols>
    <col min="1" max="1" width="11.42578125" style="39"/>
    <col min="2" max="2" width="12.28515625" style="39" customWidth="1"/>
    <col min="3" max="3" width="11.7109375" style="39" customWidth="1"/>
    <col min="4" max="5" width="11.5703125" style="39" bestFit="1" customWidth="1"/>
    <col min="6" max="6" width="13.85546875" style="39" bestFit="1" customWidth="1"/>
    <col min="7" max="7" width="13.7109375" style="39" customWidth="1"/>
    <col min="8" max="8" width="11.42578125" style="39" customWidth="1"/>
    <col min="9" max="9" width="15.42578125" style="39" bestFit="1" customWidth="1"/>
    <col min="10" max="11" width="11.5703125" style="39" bestFit="1" customWidth="1"/>
    <col min="12" max="12" width="12" style="39" customWidth="1"/>
    <col min="13" max="13" width="13.28515625" style="39" customWidth="1"/>
    <col min="14" max="14" width="12.85546875" style="39" bestFit="1" customWidth="1"/>
    <col min="15" max="15" width="15" style="39" customWidth="1"/>
    <col min="16" max="17" width="11.5703125" style="39" bestFit="1" customWidth="1"/>
    <col min="18" max="18" width="12.5703125" style="39" bestFit="1" customWidth="1"/>
    <col min="19" max="19" width="11.42578125" style="39"/>
    <col min="20" max="20" width="14.140625" style="39" bestFit="1" customWidth="1"/>
    <col min="21" max="16384" width="11.42578125" style="39"/>
  </cols>
  <sheetData>
    <row r="1" spans="1:14" customFormat="1" x14ac:dyDescent="0.25"/>
    <row r="2" spans="1:14" customFormat="1" ht="26.25" x14ac:dyDescent="0.4">
      <c r="B2" s="77" t="s">
        <v>79</v>
      </c>
      <c r="E2" s="79" t="s">
        <v>80</v>
      </c>
      <c r="H2" s="78" t="s">
        <v>81</v>
      </c>
    </row>
    <row r="3" spans="1:14" customFormat="1" x14ac:dyDescent="0.25"/>
    <row r="4" spans="1:14" customFormat="1" x14ac:dyDescent="0.25">
      <c r="B4" t="s">
        <v>15</v>
      </c>
      <c r="C4" t="s">
        <v>26</v>
      </c>
      <c r="E4" t="s">
        <v>17</v>
      </c>
      <c r="F4" s="2">
        <f>'Air sin Precal'!D53</f>
        <v>10</v>
      </c>
      <c r="H4" t="s">
        <v>83</v>
      </c>
      <c r="I4" s="2">
        <v>2056.1395397250917</v>
      </c>
      <c r="J4" t="s">
        <v>19</v>
      </c>
      <c r="N4" s="47"/>
    </row>
    <row r="5" spans="1:14" customFormat="1" x14ac:dyDescent="0.25">
      <c r="B5" s="1" t="s">
        <v>4</v>
      </c>
      <c r="C5">
        <v>0.89600000000000002</v>
      </c>
      <c r="E5" t="s">
        <v>18</v>
      </c>
      <c r="F5" s="2">
        <v>28</v>
      </c>
      <c r="G5" t="s">
        <v>19</v>
      </c>
      <c r="H5" t="s">
        <v>82</v>
      </c>
      <c r="I5">
        <f>N56</f>
        <v>2056.1395157514253</v>
      </c>
      <c r="J5" t="s">
        <v>19</v>
      </c>
    </row>
    <row r="6" spans="1:14" customFormat="1" x14ac:dyDescent="0.25">
      <c r="B6" s="1" t="s">
        <v>7</v>
      </c>
      <c r="C6">
        <v>0.06</v>
      </c>
      <c r="E6" t="s">
        <v>85</v>
      </c>
      <c r="F6">
        <v>70</v>
      </c>
      <c r="H6" t="s">
        <v>84</v>
      </c>
      <c r="I6">
        <f>(I5-I4)/I5*100</f>
        <v>-1.1659552402040875E-6</v>
      </c>
    </row>
    <row r="7" spans="1:14" customFormat="1" x14ac:dyDescent="0.25">
      <c r="B7" s="1" t="s">
        <v>8</v>
      </c>
      <c r="C7">
        <v>2.5000000000000001E-2</v>
      </c>
      <c r="E7" t="s">
        <v>86</v>
      </c>
      <c r="F7" s="2">
        <f>0.016</f>
        <v>1.6E-2</v>
      </c>
    </row>
    <row r="8" spans="1:14" customFormat="1" x14ac:dyDescent="0.25">
      <c r="B8" s="1" t="s">
        <v>9</v>
      </c>
      <c r="C8">
        <v>1.2999999999999999E-2</v>
      </c>
    </row>
    <row r="9" spans="1:14" customFormat="1" x14ac:dyDescent="0.25">
      <c r="B9" t="s">
        <v>6</v>
      </c>
      <c r="C9">
        <v>4.0000000000000001E-3</v>
      </c>
    </row>
    <row r="10" spans="1:14" customFormat="1" x14ac:dyDescent="0.25">
      <c r="B10" t="s">
        <v>29</v>
      </c>
      <c r="C10">
        <v>2E-3</v>
      </c>
    </row>
    <row r="11" spans="1:14" customFormat="1" x14ac:dyDescent="0.25"/>
    <row r="12" spans="1:14" customFormat="1" x14ac:dyDescent="0.25">
      <c r="B12" s="1" t="s">
        <v>20</v>
      </c>
      <c r="C12" s="2">
        <v>30</v>
      </c>
      <c r="D12" t="s">
        <v>19</v>
      </c>
    </row>
    <row r="13" spans="1:14" customFormat="1" x14ac:dyDescent="0.25"/>
    <row r="14" spans="1:14" customFormat="1" x14ac:dyDescent="0.25"/>
    <row r="15" spans="1:14" customFormat="1" ht="23.25" x14ac:dyDescent="0.35">
      <c r="B15" s="80" t="s">
        <v>21</v>
      </c>
    </row>
    <row r="16" spans="1:14" customFormat="1" x14ac:dyDescent="0.25">
      <c r="A16" s="39"/>
      <c r="B16" t="s">
        <v>27</v>
      </c>
      <c r="F16" s="2">
        <f>'Air sin Precal'!C53</f>
        <v>1300</v>
      </c>
      <c r="G16" t="s">
        <v>24</v>
      </c>
    </row>
    <row r="17" spans="1:18" customFormat="1" x14ac:dyDescent="0.25">
      <c r="A17" s="39"/>
      <c r="N17" s="22"/>
      <c r="O17" s="94" t="s">
        <v>0</v>
      </c>
      <c r="P17" s="95"/>
      <c r="Q17" s="95"/>
      <c r="R17" s="96"/>
    </row>
    <row r="18" spans="1:18" customFormat="1" x14ac:dyDescent="0.25">
      <c r="A18" s="39"/>
      <c r="B18" s="87" t="s">
        <v>22</v>
      </c>
      <c r="C18" s="7"/>
      <c r="D18" s="7"/>
      <c r="E18" s="7"/>
      <c r="H18" s="87" t="s">
        <v>35</v>
      </c>
      <c r="I18" s="7"/>
      <c r="J18" s="7"/>
      <c r="K18" s="7"/>
      <c r="N18" s="22"/>
      <c r="O18" s="83" t="s">
        <v>4</v>
      </c>
      <c r="P18" s="83" t="s">
        <v>13</v>
      </c>
      <c r="Q18" s="83" t="s">
        <v>6</v>
      </c>
      <c r="R18" s="83" t="s">
        <v>14</v>
      </c>
    </row>
    <row r="19" spans="1:18" customFormat="1" x14ac:dyDescent="0.25">
      <c r="A19" s="39"/>
      <c r="B19" s="89" t="s">
        <v>23</v>
      </c>
      <c r="C19" s="7"/>
      <c r="D19" s="7"/>
      <c r="E19" s="7"/>
      <c r="H19" s="89" t="s">
        <v>36</v>
      </c>
      <c r="I19" s="7"/>
      <c r="J19" s="7"/>
      <c r="K19" s="7"/>
      <c r="N19" s="22"/>
      <c r="O19" s="84">
        <f>C21</f>
        <v>1164.8</v>
      </c>
      <c r="P19" s="84">
        <f>2*O19</f>
        <v>2329.6</v>
      </c>
      <c r="Q19" s="84">
        <f>O19</f>
        <v>1164.8</v>
      </c>
      <c r="R19" s="84">
        <f>2*O19</f>
        <v>2329.6</v>
      </c>
    </row>
    <row r="20" spans="1:18" customFormat="1" x14ac:dyDescent="0.25">
      <c r="A20" s="39"/>
      <c r="B20" s="8" t="s">
        <v>15</v>
      </c>
      <c r="C20" s="8" t="s">
        <v>24</v>
      </c>
      <c r="D20" s="8" t="s">
        <v>25</v>
      </c>
      <c r="E20" s="8" t="s">
        <v>26</v>
      </c>
      <c r="H20" s="7" t="s">
        <v>15</v>
      </c>
      <c r="I20" s="7" t="s">
        <v>24</v>
      </c>
      <c r="J20" s="7" t="s">
        <v>25</v>
      </c>
      <c r="K20" s="7" t="s">
        <v>26</v>
      </c>
      <c r="N20" s="22"/>
      <c r="O20" s="85"/>
      <c r="P20" s="85"/>
      <c r="Q20" s="85"/>
      <c r="R20" s="85"/>
    </row>
    <row r="21" spans="1:18" customFormat="1" x14ac:dyDescent="0.25">
      <c r="A21" s="39"/>
      <c r="B21" s="9" t="s">
        <v>4</v>
      </c>
      <c r="C21" s="7">
        <f t="shared" ref="C21:C26" si="0">$F$16*E21</f>
        <v>1164.8</v>
      </c>
      <c r="D21" s="7">
        <f>C21*16</f>
        <v>18636.8</v>
      </c>
      <c r="E21" s="10">
        <f t="shared" ref="E21:E26" si="1">C5</f>
        <v>0.89600000000000002</v>
      </c>
      <c r="H21" s="9" t="s">
        <v>6</v>
      </c>
      <c r="I21" s="7">
        <f>C21+2*C22+3*C23+4*C24+C25</f>
        <v>1491.1</v>
      </c>
      <c r="J21" s="7">
        <f>44*I21</f>
        <v>65608.399999999994</v>
      </c>
      <c r="K21" s="7">
        <f>I21/$I$25*100</f>
        <v>8.9491967620029929</v>
      </c>
      <c r="N21" s="22"/>
      <c r="O21" s="94" t="s">
        <v>1</v>
      </c>
      <c r="P21" s="95"/>
      <c r="Q21" s="95"/>
      <c r="R21" s="96"/>
    </row>
    <row r="22" spans="1:18" customFormat="1" x14ac:dyDescent="0.25">
      <c r="A22" s="39"/>
      <c r="B22" s="9" t="s">
        <v>7</v>
      </c>
      <c r="C22" s="7">
        <f t="shared" si="0"/>
        <v>78</v>
      </c>
      <c r="D22" s="7">
        <f>C22*30</f>
        <v>2340</v>
      </c>
      <c r="E22" s="10">
        <f t="shared" si="1"/>
        <v>0.06</v>
      </c>
      <c r="H22" s="9" t="s">
        <v>37</v>
      </c>
      <c r="I22" s="7">
        <f>2*C21+3*C22+4*C23+5*C24+C33</f>
        <v>2989.8423492063489</v>
      </c>
      <c r="J22" s="7">
        <f>18*I22</f>
        <v>53817.162285714279</v>
      </c>
      <c r="K22" s="7">
        <f>I22/$I$25*100</f>
        <v>17.94426092845341</v>
      </c>
      <c r="N22" s="22"/>
      <c r="O22" s="83" t="s">
        <v>7</v>
      </c>
      <c r="P22" s="83" t="s">
        <v>67</v>
      </c>
      <c r="Q22" s="83" t="s">
        <v>68</v>
      </c>
      <c r="R22" s="83" t="s">
        <v>69</v>
      </c>
    </row>
    <row r="23" spans="1:18" customFormat="1" x14ac:dyDescent="0.25">
      <c r="A23" s="39"/>
      <c r="B23" s="9" t="s">
        <v>8</v>
      </c>
      <c r="C23" s="7">
        <f t="shared" si="0"/>
        <v>32.5</v>
      </c>
      <c r="D23" s="7">
        <f>C23*44</f>
        <v>1430</v>
      </c>
      <c r="E23" s="10">
        <f t="shared" si="1"/>
        <v>2.5000000000000001E-2</v>
      </c>
      <c r="H23" s="9" t="s">
        <v>5</v>
      </c>
      <c r="I23" s="7">
        <f>C31-G31</f>
        <v>287.49500000000035</v>
      </c>
      <c r="J23" s="7">
        <f>32*I23</f>
        <v>9199.8400000000111</v>
      </c>
      <c r="K23" s="7">
        <f>I23/$I$25*100</f>
        <v>1.7254706747314423</v>
      </c>
      <c r="N23" s="22"/>
      <c r="O23" s="84">
        <f>C22</f>
        <v>78</v>
      </c>
      <c r="P23" s="84">
        <f>3.5*O23</f>
        <v>273</v>
      </c>
      <c r="Q23" s="84">
        <f>2*O23</f>
        <v>156</v>
      </c>
      <c r="R23" s="84">
        <f>3*O23</f>
        <v>234</v>
      </c>
    </row>
    <row r="24" spans="1:18" customFormat="1" x14ac:dyDescent="0.25">
      <c r="A24" s="39"/>
      <c r="B24" s="9" t="s">
        <v>9</v>
      </c>
      <c r="C24" s="7">
        <f t="shared" si="0"/>
        <v>16.899999999999999</v>
      </c>
      <c r="D24" s="7">
        <f>C24*58</f>
        <v>980.19999999999993</v>
      </c>
      <c r="E24" s="10">
        <f t="shared" si="1"/>
        <v>1.2999999999999999E-2</v>
      </c>
      <c r="H24" s="9" t="s">
        <v>29</v>
      </c>
      <c r="I24" s="7">
        <f>C32+C26</f>
        <v>11893.393199999999</v>
      </c>
      <c r="J24" s="7">
        <f>28*I24</f>
        <v>333015.00959999999</v>
      </c>
      <c r="K24" s="7">
        <f>I24/$I$25*100</f>
        <v>71.381071634812159</v>
      </c>
      <c r="N24" s="22"/>
      <c r="O24" s="85"/>
      <c r="P24" s="85"/>
      <c r="Q24" s="85"/>
      <c r="R24" s="85"/>
    </row>
    <row r="25" spans="1:18" customFormat="1" x14ac:dyDescent="0.25">
      <c r="A25" s="39"/>
      <c r="B25" s="9" t="s">
        <v>6</v>
      </c>
      <c r="C25" s="7">
        <f t="shared" si="0"/>
        <v>5.2</v>
      </c>
      <c r="D25" s="7">
        <f>44*C25</f>
        <v>228.8</v>
      </c>
      <c r="E25" s="10">
        <f t="shared" si="1"/>
        <v>4.0000000000000001E-3</v>
      </c>
      <c r="H25" s="1" t="s">
        <v>38</v>
      </c>
      <c r="I25">
        <f>SUM(I21:I24)</f>
        <v>16661.830549206348</v>
      </c>
      <c r="J25">
        <f>SUM(J21:J24)</f>
        <v>461640.41188571427</v>
      </c>
      <c r="K25" s="5">
        <f>SUM(K21:K24)</f>
        <v>100</v>
      </c>
      <c r="N25" s="22"/>
      <c r="O25" s="94" t="s">
        <v>2</v>
      </c>
      <c r="P25" s="95"/>
      <c r="Q25" s="95"/>
      <c r="R25" s="96"/>
    </row>
    <row r="26" spans="1:18" customFormat="1" x14ac:dyDescent="0.25">
      <c r="A26" s="39"/>
      <c r="B26" s="9" t="s">
        <v>29</v>
      </c>
      <c r="C26" s="7">
        <f t="shared" si="0"/>
        <v>2.6</v>
      </c>
      <c r="D26" s="7">
        <f>28*C26</f>
        <v>72.8</v>
      </c>
      <c r="E26" s="10">
        <f t="shared" si="1"/>
        <v>2E-3</v>
      </c>
      <c r="N26" s="22"/>
      <c r="O26" s="83" t="s">
        <v>8</v>
      </c>
      <c r="P26" s="83" t="s">
        <v>70</v>
      </c>
      <c r="Q26" s="83" t="s">
        <v>71</v>
      </c>
      <c r="R26" s="83" t="s">
        <v>72</v>
      </c>
    </row>
    <row r="27" spans="1:18" customFormat="1" x14ac:dyDescent="0.25">
      <c r="A27" s="39"/>
      <c r="B27" s="1" t="s">
        <v>33</v>
      </c>
      <c r="C27" s="5">
        <f>SUM(C21:C26)</f>
        <v>1300</v>
      </c>
      <c r="D27">
        <f>SUM(D21:D26)</f>
        <v>23688.6</v>
      </c>
      <c r="E27" s="46">
        <f>SUM(E21:E26)</f>
        <v>1</v>
      </c>
      <c r="F27">
        <f>C27/1000</f>
        <v>1.3</v>
      </c>
      <c r="G27" t="s">
        <v>91</v>
      </c>
      <c r="O27" s="84">
        <f>C23</f>
        <v>32.5</v>
      </c>
      <c r="P27" s="84">
        <f>5*O27</f>
        <v>162.5</v>
      </c>
      <c r="Q27" s="84">
        <f>3*O27</f>
        <v>97.5</v>
      </c>
      <c r="R27" s="84">
        <f>O27*4</f>
        <v>130</v>
      </c>
    </row>
    <row r="28" spans="1:18" customFormat="1" x14ac:dyDescent="0.25">
      <c r="A28" s="39"/>
      <c r="E28" s="3"/>
      <c r="O28" s="86"/>
      <c r="P28" s="86"/>
      <c r="Q28" s="86"/>
      <c r="R28" s="86"/>
    </row>
    <row r="29" spans="1:18" customFormat="1" x14ac:dyDescent="0.25">
      <c r="A29" s="39"/>
      <c r="B29" s="90" t="s">
        <v>16</v>
      </c>
      <c r="C29" s="7"/>
      <c r="D29" s="7"/>
      <c r="E29" s="11"/>
      <c r="F29" s="7"/>
      <c r="G29" s="7"/>
      <c r="O29" s="94" t="s">
        <v>3</v>
      </c>
      <c r="P29" s="95"/>
      <c r="Q29" s="95"/>
      <c r="R29" s="96"/>
    </row>
    <row r="30" spans="1:18" customFormat="1" x14ac:dyDescent="0.25">
      <c r="A30" s="39"/>
      <c r="B30" s="7" t="s">
        <v>15</v>
      </c>
      <c r="C30" s="7" t="s">
        <v>24</v>
      </c>
      <c r="D30" s="7" t="s">
        <v>25</v>
      </c>
      <c r="E30" s="7" t="s">
        <v>28</v>
      </c>
      <c r="F30" s="7"/>
      <c r="G30" s="7"/>
      <c r="O30" s="83" t="s">
        <v>9</v>
      </c>
      <c r="P30" s="83" t="s">
        <v>12</v>
      </c>
      <c r="Q30" s="83" t="s">
        <v>11</v>
      </c>
      <c r="R30" s="83" t="s">
        <v>10</v>
      </c>
    </row>
    <row r="31" spans="1:18" customFormat="1" x14ac:dyDescent="0.25">
      <c r="A31" s="39"/>
      <c r="B31" s="9" t="s">
        <v>5</v>
      </c>
      <c r="C31" s="7">
        <f>(100+F4)*G31/100</f>
        <v>3162.4450000000002</v>
      </c>
      <c r="D31" s="7">
        <f>32*C31</f>
        <v>101198.24</v>
      </c>
      <c r="E31" s="12">
        <f>C31/$C$34</f>
        <v>0.20716993315555984</v>
      </c>
      <c r="F31" s="7" t="s">
        <v>30</v>
      </c>
      <c r="G31" s="7">
        <f>2*C21+3.5*C22+5*C23+6.5*C24</f>
        <v>2874.95</v>
      </c>
      <c r="H31" s="28"/>
      <c r="O31" s="84">
        <f>C24</f>
        <v>16.899999999999999</v>
      </c>
      <c r="P31" s="84">
        <f>O31*6.5</f>
        <v>109.85</v>
      </c>
      <c r="Q31" s="84">
        <f>4*O31</f>
        <v>67.599999999999994</v>
      </c>
      <c r="R31" s="84">
        <f>5*O31</f>
        <v>84.5</v>
      </c>
    </row>
    <row r="32" spans="1:18" customFormat="1" x14ac:dyDescent="0.25">
      <c r="A32" s="39"/>
      <c r="B32" s="9" t="s">
        <v>29</v>
      </c>
      <c r="C32" s="7">
        <f>(100+F4)*G31*3.76/100</f>
        <v>11890.793199999998</v>
      </c>
      <c r="D32" s="7">
        <f>28*C32</f>
        <v>332942.20959999994</v>
      </c>
      <c r="E32" s="12">
        <f>C32/$C$34</f>
        <v>0.77895894866490478</v>
      </c>
      <c r="F32" s="7"/>
      <c r="G32" s="7"/>
      <c r="H32" s="28"/>
    </row>
    <row r="33" spans="1:18" customFormat="1" x14ac:dyDescent="0.25">
      <c r="A33" s="39"/>
      <c r="B33" s="9" t="s">
        <v>37</v>
      </c>
      <c r="C33" s="7">
        <f>(F7*(29/18)*(1/0.21)*((110+F4)/2))*G31/100</f>
        <v>211.74234920634916</v>
      </c>
      <c r="D33" s="7">
        <f>18*C33</f>
        <v>3811.362285714285</v>
      </c>
      <c r="E33" s="12">
        <f>C33/$C$34</f>
        <v>1.3871118179535315E-2</v>
      </c>
      <c r="F33" s="7"/>
      <c r="G33" s="7"/>
      <c r="H33" s="28"/>
      <c r="I33" s="39"/>
      <c r="J33" s="39"/>
    </row>
    <row r="34" spans="1:18" customFormat="1" x14ac:dyDescent="0.25">
      <c r="A34" s="39"/>
      <c r="B34" s="1" t="s">
        <v>32</v>
      </c>
      <c r="C34">
        <f>SUM(C31:C33)</f>
        <v>15264.980549206348</v>
      </c>
      <c r="D34">
        <f>SUM(D31:D33)</f>
        <v>437951.81188571424</v>
      </c>
      <c r="E34" s="4">
        <f>SUM(E31:E33)</f>
        <v>1</v>
      </c>
      <c r="F34">
        <f>C34/1000</f>
        <v>15.264980549206348</v>
      </c>
      <c r="G34" t="s">
        <v>90</v>
      </c>
      <c r="I34" s="39"/>
      <c r="J34" s="39"/>
    </row>
    <row r="35" spans="1:18" customFormat="1" x14ac:dyDescent="0.25">
      <c r="A35" s="39"/>
      <c r="B35" s="1"/>
      <c r="E35" s="4"/>
    </row>
    <row r="36" spans="1:18" customFormat="1" x14ac:dyDescent="0.25">
      <c r="A36" s="39"/>
      <c r="B36" s="91" t="s">
        <v>31</v>
      </c>
      <c r="C36" s="51"/>
      <c r="D36" s="51">
        <f>D34+D27</f>
        <v>461640.41188571422</v>
      </c>
      <c r="E36" s="51" t="s">
        <v>25</v>
      </c>
      <c r="F36" s="92" t="s">
        <v>34</v>
      </c>
      <c r="G36" s="51"/>
      <c r="H36" s="93">
        <f>J25</f>
        <v>461640.41188571427</v>
      </c>
      <c r="I36" s="51" t="s">
        <v>25</v>
      </c>
    </row>
    <row r="37" spans="1:18" customFormat="1" x14ac:dyDescent="0.25">
      <c r="A37" s="1"/>
      <c r="D37" s="4"/>
    </row>
    <row r="38" spans="1:18" customFormat="1" ht="23.25" x14ac:dyDescent="0.35">
      <c r="A38" s="39"/>
      <c r="B38" s="81" t="s">
        <v>39</v>
      </c>
      <c r="D38" s="4"/>
    </row>
    <row r="39" spans="1:18" customFormat="1" x14ac:dyDescent="0.25">
      <c r="A39" s="1"/>
      <c r="D39" s="4"/>
    </row>
    <row r="40" spans="1:18" customFormat="1" x14ac:dyDescent="0.25">
      <c r="B40" s="1" t="s">
        <v>40</v>
      </c>
      <c r="D40" s="4"/>
      <c r="F40">
        <f>J56+N44-C60</f>
        <v>-1.0913936421275139E-10</v>
      </c>
    </row>
    <row r="41" spans="1:18" customFormat="1" x14ac:dyDescent="0.25">
      <c r="A41" s="1"/>
      <c r="D41" s="4"/>
    </row>
    <row r="42" spans="1:18" customFormat="1" x14ac:dyDescent="0.25">
      <c r="A42" s="39"/>
      <c r="B42" s="88" t="s">
        <v>42</v>
      </c>
      <c r="D42" s="4"/>
      <c r="I42" s="88" t="s">
        <v>51</v>
      </c>
      <c r="K42" s="4"/>
      <c r="M42" s="88" t="s">
        <v>63</v>
      </c>
      <c r="N42" s="16"/>
      <c r="P42" s="4" t="s">
        <v>64</v>
      </c>
    </row>
    <row r="43" spans="1:18" customFormat="1" x14ac:dyDescent="0.25">
      <c r="A43" s="1"/>
      <c r="B43" t="s">
        <v>41</v>
      </c>
      <c r="D43" s="4"/>
      <c r="K43" s="4"/>
      <c r="M43" s="16"/>
      <c r="O43" s="4"/>
    </row>
    <row r="44" spans="1:18" customFormat="1" x14ac:dyDescent="0.25">
      <c r="A44" s="1"/>
      <c r="D44" s="4"/>
      <c r="I44" s="18" t="s">
        <v>52</v>
      </c>
      <c r="J44" s="5"/>
      <c r="K44" s="15"/>
      <c r="M44" s="20" t="s">
        <v>65</v>
      </c>
      <c r="N44" s="7">
        <f>-J56+C60</f>
        <v>1253444.2576422561</v>
      </c>
      <c r="O44" s="12" t="s">
        <v>44</v>
      </c>
    </row>
    <row r="45" spans="1:18" customFormat="1" ht="18" x14ac:dyDescent="0.35">
      <c r="A45" s="1"/>
      <c r="B45" s="14" t="s">
        <v>128</v>
      </c>
      <c r="C45" s="7"/>
      <c r="D45" s="12"/>
      <c r="E45" s="7" t="s">
        <v>45</v>
      </c>
      <c r="F45" s="14">
        <v>25</v>
      </c>
      <c r="G45" s="14" t="s">
        <v>19</v>
      </c>
      <c r="I45" s="5"/>
      <c r="J45" s="5"/>
      <c r="K45" s="15"/>
      <c r="M45" s="16"/>
      <c r="O45" s="4"/>
    </row>
    <row r="46" spans="1:18" customFormat="1" x14ac:dyDescent="0.25">
      <c r="A46" s="1"/>
      <c r="B46" s="7" t="s">
        <v>15</v>
      </c>
      <c r="C46" s="7" t="s">
        <v>43</v>
      </c>
      <c r="D46" s="12"/>
      <c r="E46" s="7" t="s">
        <v>46</v>
      </c>
      <c r="F46" s="7">
        <f>F5</f>
        <v>28</v>
      </c>
      <c r="G46" s="7" t="s">
        <v>19</v>
      </c>
      <c r="I46" s="5" t="s">
        <v>15</v>
      </c>
      <c r="J46" s="18" t="s">
        <v>53</v>
      </c>
      <c r="K46" s="15"/>
      <c r="M46" s="88" t="s">
        <v>66</v>
      </c>
      <c r="O46" s="4"/>
    </row>
    <row r="47" spans="1:18" customFormat="1" x14ac:dyDescent="0.25">
      <c r="A47" s="1"/>
      <c r="B47" s="7" t="s">
        <v>5</v>
      </c>
      <c r="C47" s="26">
        <f>IF(F46=F47,29.1+0.01158*F46-0.000006076*(F46^2)+0.000000001311*(F46^3),29.1+0.00579*F47-0.0000020253*F48+0.00000000032775*F49)</f>
        <v>29.402623117686751</v>
      </c>
      <c r="D47" s="12"/>
      <c r="E47" s="7" t="s">
        <v>76</v>
      </c>
      <c r="F47" s="7">
        <f>IF(F46=F45,0,F46+F45)</f>
        <v>53</v>
      </c>
      <c r="G47" s="7"/>
      <c r="I47" s="6" t="s">
        <v>54</v>
      </c>
      <c r="J47" s="19">
        <v>-74.849999999999994</v>
      </c>
      <c r="K47" s="15"/>
      <c r="M47" s="16"/>
      <c r="O47" s="4"/>
    </row>
    <row r="48" spans="1:18" customFormat="1" x14ac:dyDescent="0.25">
      <c r="A48" s="1"/>
      <c r="B48" s="7" t="s">
        <v>29</v>
      </c>
      <c r="C48" s="13">
        <f>IF(F46=F45,29+0.002199*F46+0.000005723*(F46^2)-0.000000002871*(F46^3),29+0.0010995*F47+0.00000190767*F48-0.00000000071775*F49)</f>
        <v>29.062243176613251</v>
      </c>
      <c r="D48" s="12"/>
      <c r="E48" s="7" t="s">
        <v>77</v>
      </c>
      <c r="F48" s="7">
        <f>IF(F46=F45,0,F46^2+F46*F45+F45^2)</f>
        <v>2109</v>
      </c>
      <c r="G48" s="7"/>
      <c r="I48" s="6" t="s">
        <v>55</v>
      </c>
      <c r="J48" s="19">
        <v>-84.67</v>
      </c>
      <c r="K48" s="15"/>
      <c r="M48" s="1" t="s">
        <v>73</v>
      </c>
      <c r="N48" s="22"/>
      <c r="O48" s="4"/>
      <c r="P48" s="22"/>
      <c r="Q48" s="22"/>
      <c r="R48" s="22"/>
    </row>
    <row r="49" spans="1:18" customFormat="1" x14ac:dyDescent="0.25">
      <c r="A49" s="1"/>
      <c r="B49" s="7"/>
      <c r="C49" s="7"/>
      <c r="D49" s="12"/>
      <c r="E49" s="7" t="s">
        <v>78</v>
      </c>
      <c r="F49" s="7">
        <f>IF(F46=F45,0,F47*(F46^2+F45^2))</f>
        <v>74677</v>
      </c>
      <c r="G49" s="7"/>
      <c r="I49" s="6" t="s">
        <v>56</v>
      </c>
      <c r="J49" s="19">
        <v>-103.8</v>
      </c>
      <c r="K49" s="15"/>
      <c r="M49" s="23"/>
      <c r="N49" s="22"/>
      <c r="O49" s="4"/>
      <c r="P49" s="22"/>
      <c r="Q49" s="22"/>
      <c r="R49" s="22"/>
    </row>
    <row r="50" spans="1:18" customFormat="1" x14ac:dyDescent="0.25">
      <c r="A50" s="1"/>
      <c r="B50" t="s">
        <v>47</v>
      </c>
      <c r="C50">
        <f>(D31*C47+D32*C48)*(F46-F45)/1000</f>
        <v>37954.623510142046</v>
      </c>
      <c r="D50" s="4" t="s">
        <v>44</v>
      </c>
      <c r="I50" s="6" t="s">
        <v>57</v>
      </c>
      <c r="J50" s="19">
        <v>-124.7</v>
      </c>
      <c r="K50" s="15"/>
      <c r="M50" s="24" t="s">
        <v>15</v>
      </c>
      <c r="N50" s="25" t="s">
        <v>74</v>
      </c>
      <c r="O50" s="12"/>
      <c r="P50" s="7" t="s">
        <v>45</v>
      </c>
      <c r="Q50" s="14">
        <v>25</v>
      </c>
      <c r="R50" s="14" t="s">
        <v>19</v>
      </c>
    </row>
    <row r="51" spans="1:18" customFormat="1" x14ac:dyDescent="0.25">
      <c r="A51" s="1"/>
      <c r="I51" s="6" t="s">
        <v>58</v>
      </c>
      <c r="J51" s="19">
        <v>-241.83</v>
      </c>
      <c r="K51" s="15"/>
      <c r="M51" s="9" t="s">
        <v>59</v>
      </c>
      <c r="N51" s="25">
        <f>IF(Q51=Q50,36.11+0.04233*Q51-0.00002887*(Q51^2)+0.000000007464*(Q51^3),36.11+0.021165*Q52-0.0000096233*Q53+0.000000001866*Q54)</f>
        <v>55.392455191335792</v>
      </c>
      <c r="O51" s="12"/>
      <c r="P51" s="7" t="s">
        <v>46</v>
      </c>
      <c r="Q51" s="7">
        <f>I4</f>
        <v>2056.1395397250917</v>
      </c>
      <c r="R51" s="7" t="s">
        <v>19</v>
      </c>
    </row>
    <row r="52" spans="1:18" customFormat="1" ht="18" x14ac:dyDescent="0.35">
      <c r="A52" s="1"/>
      <c r="B52" s="14" t="s">
        <v>129</v>
      </c>
      <c r="C52" s="7"/>
      <c r="D52" s="12"/>
      <c r="E52" s="7"/>
      <c r="F52" s="7"/>
      <c r="G52" s="7"/>
      <c r="I52" s="6" t="s">
        <v>59</v>
      </c>
      <c r="J52" s="19">
        <v>-393.5</v>
      </c>
      <c r="K52" s="15"/>
      <c r="M52" s="9" t="s">
        <v>58</v>
      </c>
      <c r="N52" s="25">
        <f>IF(Q51=Q50,33.46+0.00688*Q51+0.000007604*(Q51^2)-0.000000003593*(Q51^3),33.46+0.00344*Q52+0.00000253467*Q53-0.00000000089825*Q54)</f>
        <v>43.562464574153104</v>
      </c>
      <c r="O52" s="12"/>
      <c r="P52" s="7" t="s">
        <v>76</v>
      </c>
      <c r="Q52" s="7">
        <f>IF(Q51=Q50,0,Q51+Q50)</f>
        <v>2081.1395397250917</v>
      </c>
      <c r="R52" s="25"/>
    </row>
    <row r="53" spans="1:18" customFormat="1" x14ac:dyDescent="0.25">
      <c r="A53" s="1"/>
      <c r="B53" s="7" t="s">
        <v>15</v>
      </c>
      <c r="C53" s="7" t="s">
        <v>43</v>
      </c>
      <c r="D53" s="12"/>
      <c r="E53" s="7" t="s">
        <v>45</v>
      </c>
      <c r="F53" s="14">
        <v>25</v>
      </c>
      <c r="G53" s="14" t="s">
        <v>19</v>
      </c>
      <c r="I53" s="6" t="s">
        <v>60</v>
      </c>
      <c r="J53" s="19">
        <v>0</v>
      </c>
      <c r="K53" s="15"/>
      <c r="M53" s="9" t="s">
        <v>60</v>
      </c>
      <c r="N53" s="25">
        <f>IF(Q51=Q50,29.1+0.01158*Q51-0.000006076*(Q51^2)+0.000000001311*(Q51^3),29.1+0.00579*Q52-0.0000020253*Q53+0.00000000032775*Q54)</f>
        <v>35.366163586024378</v>
      </c>
      <c r="O53" s="12"/>
      <c r="P53" s="7" t="s">
        <v>77</v>
      </c>
      <c r="Q53" s="7">
        <f>IF(Q51=Q50,0,Q51^2+Q51*Q50+Q50^2)</f>
        <v>4279738.29531404</v>
      </c>
      <c r="R53" s="25"/>
    </row>
    <row r="54" spans="1:18" customFormat="1" x14ac:dyDescent="0.25">
      <c r="A54" s="1"/>
      <c r="B54" s="9" t="s">
        <v>4</v>
      </c>
      <c r="C54" s="26">
        <f>IF(F54=F53,34.31+0.05469*F54+0.000003661*(F54^2)-0.000000011*(F54^3),34.31+0.027345*F55+0.00000122033*F56-0.00000000275*F57)</f>
        <v>35.816520594500005</v>
      </c>
      <c r="D54" s="12"/>
      <c r="E54" s="7" t="s">
        <v>46</v>
      </c>
      <c r="F54" s="7">
        <f>C12</f>
        <v>30</v>
      </c>
      <c r="G54" s="7" t="s">
        <v>19</v>
      </c>
      <c r="I54" s="6" t="s">
        <v>61</v>
      </c>
      <c r="J54" s="19">
        <v>0</v>
      </c>
      <c r="K54" s="15"/>
      <c r="M54" s="9" t="s">
        <v>61</v>
      </c>
      <c r="N54" s="25">
        <f>IF(Q51=Q50,29+0.002199*Q51+0.000005723*(Q51^2)-0.000000002871*(Q51^3),29+0.0010995*Q52+0.00000190767*Q53-0.00000000071775*Q54)</f>
        <v>33.136517303302213</v>
      </c>
      <c r="O54" s="12"/>
      <c r="P54" s="7" t="s">
        <v>78</v>
      </c>
      <c r="Q54" s="7">
        <f>IF(Q51=Q50,0,Q52*(Q51^2+Q50^2))</f>
        <v>8799754753.6708584</v>
      </c>
      <c r="R54" s="25"/>
    </row>
    <row r="55" spans="1:18" customFormat="1" x14ac:dyDescent="0.25">
      <c r="A55" s="1"/>
      <c r="B55" s="9" t="s">
        <v>7</v>
      </c>
      <c r="C55" s="7">
        <f>IF(F54=F53,49.37+0.1392*F54-0.00005816*(F54^2)+0.00000000728*(F54^3),49.37+0.0692*F55-0.0000193867*F56+0.00000000182*F57)</f>
        <v>53.132047909999997</v>
      </c>
      <c r="D55" s="12"/>
      <c r="E55" s="7" t="s">
        <v>76</v>
      </c>
      <c r="F55" s="7">
        <f>IF(F54=F53,0,F54+F53)</f>
        <v>55</v>
      </c>
      <c r="G55" s="7"/>
      <c r="K55" s="4"/>
      <c r="M55" s="23"/>
      <c r="N55" s="22"/>
      <c r="O55" s="4"/>
      <c r="P55" s="22"/>
      <c r="Q55" s="22"/>
      <c r="R55" s="22"/>
    </row>
    <row r="56" spans="1:18" customFormat="1" ht="26.25" x14ac:dyDescent="0.4">
      <c r="A56" s="1"/>
      <c r="B56" s="9" t="s">
        <v>8</v>
      </c>
      <c r="C56" s="7">
        <f>IF(F54=F53,68.032+0.2259*F54-0.0001311*(F54^2)+0.00000003171*(F54^3),68.032+0.11295*F55-0.0000437*F56+0.0000000079275*F57)</f>
        <v>74.145497419062494</v>
      </c>
      <c r="D56" s="12"/>
      <c r="E56" s="7" t="s">
        <v>77</v>
      </c>
      <c r="F56" s="7">
        <f>IF(F54=F53,0,F54^2+F54*F53+F53^2)</f>
        <v>2275</v>
      </c>
      <c r="G56" s="7"/>
      <c r="I56" s="17" t="s">
        <v>62</v>
      </c>
      <c r="J56" s="7">
        <f>I21*J52+I22*J51+I23*J53+I24*J54-C21*J47-C22*J48-C23*J49-C24*J50</f>
        <v>-1210510.9553085712</v>
      </c>
      <c r="K56" s="12" t="s">
        <v>49</v>
      </c>
      <c r="M56" s="82" t="s">
        <v>75</v>
      </c>
      <c r="N56" s="22">
        <f>Q50+1000*N44/(I21*N51+I22*N52+I23*N53+I24*N54)</f>
        <v>2056.1395157514253</v>
      </c>
      <c r="O56" s="4" t="s">
        <v>19</v>
      </c>
      <c r="P56" s="22"/>
      <c r="Q56" s="22">
        <f>N56+273</f>
        <v>2329.1395157514253</v>
      </c>
      <c r="R56" s="22" t="s">
        <v>87</v>
      </c>
    </row>
    <row r="57" spans="1:18" customFormat="1" x14ac:dyDescent="0.25">
      <c r="A57" s="1"/>
      <c r="B57" s="9" t="s">
        <v>9</v>
      </c>
      <c r="C57" s="7">
        <f>IF(F54=F53,92.3+0.2788*F54-0.0001547*(F54^2)+0.00000003498*(F54^3),92.3+0.1394*F55-0.000051567*F56+0.000000008745*F57)</f>
        <v>99.850418561875003</v>
      </c>
      <c r="D57" s="12"/>
      <c r="E57" s="7" t="s">
        <v>78</v>
      </c>
      <c r="F57" s="7">
        <f>IF(F54=F53,0,F55*(F54^2+F53^2))</f>
        <v>83875</v>
      </c>
      <c r="G57" s="7"/>
      <c r="I57" s="39"/>
      <c r="J57" s="39"/>
      <c r="K57" s="39"/>
    </row>
    <row r="58" spans="1:18" customFormat="1" x14ac:dyDescent="0.25">
      <c r="A58" s="1"/>
      <c r="B58" s="6" t="s">
        <v>48</v>
      </c>
      <c r="C58">
        <f>(D21*C54+D22*C55+D23*C56+D24*C57)*(F54-F53)/1000</f>
        <v>4978.678823542934</v>
      </c>
      <c r="D58" s="4" t="s">
        <v>49</v>
      </c>
    </row>
    <row r="59" spans="1:18" customFormat="1" x14ac:dyDescent="0.25">
      <c r="A59" s="1"/>
      <c r="D59" s="4"/>
    </row>
    <row r="60" spans="1:18" customFormat="1" x14ac:dyDescent="0.25">
      <c r="A60" s="1"/>
      <c r="B60" s="9" t="s">
        <v>50</v>
      </c>
      <c r="C60" s="7">
        <f>C58+C50</f>
        <v>42933.30233368498</v>
      </c>
      <c r="D60" s="12" t="s">
        <v>44</v>
      </c>
    </row>
    <row r="61" spans="1:18" customFormat="1" x14ac:dyDescent="0.25">
      <c r="A61" s="1"/>
      <c r="D61" s="4"/>
      <c r="H61" s="39"/>
      <c r="I61" s="39"/>
      <c r="J61" s="39"/>
      <c r="K61" s="39"/>
      <c r="L61" s="39"/>
      <c r="M61" s="39"/>
    </row>
    <row r="62" spans="1:18" customFormat="1" x14ac:dyDescent="0.25">
      <c r="A62" s="39"/>
      <c r="B62" s="39"/>
      <c r="C62" s="39"/>
      <c r="D62" s="39"/>
      <c r="H62" s="39"/>
      <c r="I62" s="39"/>
      <c r="J62" s="39"/>
      <c r="K62" s="39"/>
      <c r="L62" s="39"/>
      <c r="M62" s="39"/>
    </row>
    <row r="63" spans="1:18" customFormat="1" x14ac:dyDescent="0.25">
      <c r="A63" s="1"/>
      <c r="B63" s="39"/>
      <c r="C63" s="39"/>
      <c r="D63" s="39"/>
      <c r="H63" s="39"/>
      <c r="I63" s="39"/>
      <c r="J63" s="39"/>
      <c r="K63" s="39"/>
      <c r="L63" s="39"/>
      <c r="M63" s="39"/>
    </row>
    <row r="64" spans="1:18" customFormat="1" x14ac:dyDescent="0.25">
      <c r="A64" s="1"/>
      <c r="B64" s="39"/>
      <c r="C64" s="39"/>
      <c r="D64" s="39"/>
      <c r="H64" s="39"/>
      <c r="I64" s="39"/>
      <c r="J64" s="39"/>
      <c r="K64" s="39"/>
      <c r="L64" s="39"/>
      <c r="M64" s="39"/>
    </row>
    <row r="65" spans="1:13" customFormat="1" x14ac:dyDescent="0.25">
      <c r="A65" s="1"/>
      <c r="B65" s="39"/>
      <c r="C65" s="39"/>
      <c r="D65" s="39"/>
      <c r="H65" s="39"/>
      <c r="I65" s="39"/>
      <c r="J65" s="39"/>
      <c r="K65" s="39"/>
      <c r="L65" s="39"/>
      <c r="M65" s="39"/>
    </row>
    <row r="66" spans="1:13" customFormat="1" x14ac:dyDescent="0.25">
      <c r="A66" s="1"/>
      <c r="B66" s="39"/>
      <c r="C66" s="39"/>
      <c r="D66" s="39"/>
      <c r="H66" s="39"/>
      <c r="I66" s="39"/>
      <c r="J66" s="39"/>
      <c r="K66" s="39"/>
      <c r="L66" s="39"/>
      <c r="M66" s="39"/>
    </row>
    <row r="67" spans="1:13" customFormat="1" x14ac:dyDescent="0.25">
      <c r="A67" s="1"/>
      <c r="B67" s="39"/>
      <c r="C67" s="39"/>
      <c r="D67" s="39"/>
      <c r="H67" s="39"/>
      <c r="I67" s="39"/>
      <c r="J67" s="39"/>
      <c r="K67" s="39"/>
      <c r="L67" s="39"/>
      <c r="M67" s="39"/>
    </row>
    <row r="68" spans="1:13" customFormat="1" x14ac:dyDescent="0.25">
      <c r="A68" s="1"/>
      <c r="B68" s="39"/>
      <c r="C68" s="39"/>
      <c r="D68" s="39"/>
      <c r="H68" s="39"/>
      <c r="I68" s="39"/>
      <c r="J68" s="39"/>
      <c r="K68" s="39"/>
      <c r="L68" s="39"/>
      <c r="M68" s="39"/>
    </row>
    <row r="69" spans="1:13" customFormat="1" x14ac:dyDescent="0.25">
      <c r="A69" s="1"/>
      <c r="B69" s="39"/>
      <c r="C69" s="39"/>
      <c r="D69" s="39"/>
      <c r="H69" s="39"/>
      <c r="I69" s="39"/>
      <c r="J69" s="39"/>
      <c r="K69" s="39"/>
      <c r="L69" s="39"/>
      <c r="M69" s="39"/>
    </row>
    <row r="70" spans="1:13" customFormat="1" x14ac:dyDescent="0.25">
      <c r="A70" s="1"/>
      <c r="B70" s="39"/>
      <c r="C70" s="39"/>
      <c r="D70" s="39"/>
      <c r="H70" s="39"/>
      <c r="I70" s="39"/>
      <c r="J70" s="39"/>
      <c r="K70" s="39"/>
      <c r="L70" s="39"/>
      <c r="M70" s="39"/>
    </row>
    <row r="71" spans="1:13" customFormat="1" x14ac:dyDescent="0.25">
      <c r="A71" s="1"/>
      <c r="B71" s="39"/>
      <c r="C71" s="39"/>
      <c r="D71" s="39"/>
      <c r="H71" s="39"/>
      <c r="I71" s="39"/>
      <c r="J71" s="39"/>
      <c r="K71" s="39"/>
      <c r="L71" s="39"/>
      <c r="M71" s="39"/>
    </row>
    <row r="72" spans="1:13" customFormat="1" x14ac:dyDescent="0.25">
      <c r="A72" s="1"/>
      <c r="B72" s="39"/>
      <c r="C72" s="39"/>
      <c r="D72" s="39"/>
      <c r="H72" s="39"/>
      <c r="I72" s="39"/>
      <c r="J72" s="39"/>
      <c r="K72" s="39"/>
      <c r="L72" s="39"/>
      <c r="M72" s="39"/>
    </row>
    <row r="73" spans="1:13" customFormat="1" x14ac:dyDescent="0.25">
      <c r="A73" s="1"/>
      <c r="B73" s="39"/>
      <c r="C73" s="39"/>
      <c r="D73" s="39"/>
      <c r="H73" s="39"/>
      <c r="I73" s="39"/>
      <c r="J73" s="39"/>
      <c r="K73" s="39"/>
      <c r="L73" s="39"/>
      <c r="M73" s="39"/>
    </row>
    <row r="74" spans="1:13" customFormat="1" x14ac:dyDescent="0.25">
      <c r="A74" s="1"/>
      <c r="B74" s="39"/>
      <c r="C74" s="39"/>
      <c r="D74" s="39"/>
      <c r="H74" s="39"/>
      <c r="I74" s="39"/>
      <c r="J74" s="39"/>
      <c r="K74" s="39"/>
      <c r="L74" s="39"/>
      <c r="M74" s="39"/>
    </row>
    <row r="75" spans="1:13" customFormat="1" x14ac:dyDescent="0.25">
      <c r="A75" s="1"/>
      <c r="B75" s="39"/>
      <c r="C75" s="39"/>
      <c r="D75" s="39"/>
      <c r="H75" s="39"/>
      <c r="I75" s="39"/>
      <c r="J75" s="39"/>
      <c r="K75" s="39"/>
      <c r="L75" s="39"/>
      <c r="M75" s="39"/>
    </row>
    <row r="76" spans="1:13" customFormat="1" x14ac:dyDescent="0.25">
      <c r="A76" s="1"/>
      <c r="B76" s="39"/>
      <c r="C76" s="39"/>
      <c r="D76" s="39"/>
    </row>
    <row r="77" spans="1:13" customFormat="1" x14ac:dyDescent="0.25">
      <c r="A77" s="1"/>
      <c r="B77" s="16"/>
      <c r="D77" s="4"/>
    </row>
    <row r="78" spans="1:13" customFormat="1" x14ac:dyDescent="0.25">
      <c r="A78" s="1"/>
      <c r="B78" s="16"/>
      <c r="D78" s="4"/>
    </row>
    <row r="79" spans="1:13" customFormat="1" x14ac:dyDescent="0.25">
      <c r="A79" s="1"/>
      <c r="B79" s="16"/>
      <c r="D79" s="4"/>
    </row>
    <row r="80" spans="1:13" customFormat="1" x14ac:dyDescent="0.25">
      <c r="A80" s="39"/>
      <c r="B80" s="39"/>
      <c r="C80" s="39"/>
      <c r="D80" s="39"/>
      <c r="E80" s="39"/>
      <c r="F80" s="39"/>
      <c r="G80" s="39"/>
    </row>
    <row r="81" spans="1:7" customFormat="1" x14ac:dyDescent="0.25">
      <c r="A81" s="1"/>
      <c r="B81" s="39"/>
      <c r="C81" s="39"/>
      <c r="D81" s="39"/>
      <c r="E81" s="39"/>
      <c r="F81" s="39"/>
      <c r="G81" s="39"/>
    </row>
    <row r="82" spans="1:7" customFormat="1" x14ac:dyDescent="0.25">
      <c r="A82" s="1"/>
      <c r="B82" s="39"/>
      <c r="C82" s="39"/>
      <c r="D82" s="39"/>
      <c r="E82" s="39"/>
      <c r="F82" s="39"/>
      <c r="G82" s="39"/>
    </row>
    <row r="83" spans="1:7" customFormat="1" x14ac:dyDescent="0.25">
      <c r="A83" s="1"/>
      <c r="B83" s="39"/>
      <c r="C83" s="39"/>
      <c r="D83" s="39"/>
      <c r="E83" s="39"/>
      <c r="F83" s="39"/>
      <c r="G83" s="39"/>
    </row>
    <row r="84" spans="1:7" customFormat="1" x14ac:dyDescent="0.25">
      <c r="A84" s="39"/>
      <c r="B84" s="39"/>
      <c r="C84" s="39"/>
      <c r="D84" s="39"/>
      <c r="E84" s="39"/>
      <c r="F84" s="39"/>
      <c r="G84" s="39"/>
    </row>
    <row r="85" spans="1:7" customFormat="1" x14ac:dyDescent="0.25">
      <c r="A85" s="1"/>
      <c r="B85" s="39"/>
      <c r="C85" s="39"/>
      <c r="D85" s="39"/>
      <c r="E85" s="39"/>
      <c r="F85" s="39"/>
      <c r="G85" s="39"/>
    </row>
    <row r="86" spans="1:7" s="22" customFormat="1" x14ac:dyDescent="0.25">
      <c r="A86" s="21"/>
    </row>
    <row r="87" spans="1:7" s="22" customFormat="1" x14ac:dyDescent="0.25">
      <c r="A87" s="21"/>
    </row>
    <row r="88" spans="1:7" s="22" customFormat="1" x14ac:dyDescent="0.25">
      <c r="A88" s="21"/>
    </row>
    <row r="89" spans="1:7" s="22" customFormat="1" x14ac:dyDescent="0.25"/>
    <row r="90" spans="1:7" s="22" customFormat="1" x14ac:dyDescent="0.25">
      <c r="A90" s="21"/>
    </row>
    <row r="91" spans="1:7" s="22" customFormat="1" x14ac:dyDescent="0.25">
      <c r="A91" s="21"/>
    </row>
    <row r="92" spans="1:7" s="22" customFormat="1" x14ac:dyDescent="0.25">
      <c r="A92" s="21"/>
    </row>
    <row r="93" spans="1:7" s="22" customFormat="1" x14ac:dyDescent="0.25">
      <c r="A93" s="21"/>
    </row>
    <row r="94" spans="1:7" s="22" customFormat="1" x14ac:dyDescent="0.25">
      <c r="A94" s="21"/>
    </row>
    <row r="95" spans="1:7" s="22" customFormat="1" x14ac:dyDescent="0.25"/>
    <row r="96" spans="1:7" s="30" customFormat="1" x14ac:dyDescent="0.25"/>
    <row r="97" spans="1:20" s="30" customFormat="1" x14ac:dyDescent="0.25">
      <c r="A97" s="31"/>
      <c r="B97" s="31"/>
      <c r="C97" s="32"/>
      <c r="D97" s="31"/>
      <c r="E97" s="31"/>
      <c r="F97" s="31"/>
      <c r="G97" s="31"/>
      <c r="H97" s="31"/>
      <c r="I97" s="31"/>
      <c r="J97" s="31"/>
    </row>
    <row r="98" spans="1:20" s="30" customFormat="1" x14ac:dyDescent="0.25">
      <c r="A98" s="33"/>
      <c r="B98" s="29"/>
      <c r="C98" s="32"/>
      <c r="D98" s="31"/>
      <c r="E98" s="31"/>
      <c r="F98" s="31"/>
      <c r="G98" s="31"/>
      <c r="H98" s="35"/>
      <c r="I98" s="31"/>
      <c r="J98" s="34"/>
    </row>
    <row r="99" spans="1:20" s="30" customFormat="1" x14ac:dyDescent="0.25">
      <c r="A99" s="33"/>
      <c r="B99" s="29"/>
      <c r="C99" s="32"/>
      <c r="D99" s="31"/>
      <c r="E99" s="31"/>
      <c r="F99" s="31"/>
      <c r="G99" s="31"/>
      <c r="H99" s="35"/>
      <c r="I99" s="31"/>
      <c r="J99" s="34"/>
    </row>
    <row r="100" spans="1:20" s="30" customFormat="1" x14ac:dyDescent="0.25">
      <c r="B100" s="45"/>
      <c r="C100" s="32"/>
      <c r="D100" s="31"/>
      <c r="E100" s="31"/>
      <c r="F100" s="31"/>
      <c r="G100" s="31"/>
      <c r="H100" s="35"/>
      <c r="I100" s="31"/>
      <c r="J100" s="34"/>
    </row>
    <row r="101" spans="1:20" s="30" customFormat="1" x14ac:dyDescent="0.25">
      <c r="C101" s="34"/>
      <c r="D101" s="31"/>
      <c r="E101" s="31"/>
      <c r="F101" s="31"/>
      <c r="G101" s="31"/>
      <c r="H101" s="35"/>
      <c r="I101" s="31"/>
      <c r="J101" s="34"/>
    </row>
    <row r="102" spans="1:20" s="30" customFormat="1" x14ac:dyDescent="0.25">
      <c r="A102" s="33"/>
      <c r="B102" s="29"/>
      <c r="C102" s="34"/>
      <c r="D102" s="31"/>
      <c r="E102" s="31"/>
      <c r="F102" s="31"/>
      <c r="G102" s="31"/>
      <c r="H102" s="35"/>
      <c r="I102" s="31"/>
      <c r="J102" s="34"/>
    </row>
    <row r="103" spans="1:20" s="30" customFormat="1" x14ac:dyDescent="0.25">
      <c r="A103" s="31"/>
      <c r="B103" s="31"/>
      <c r="C103" s="31"/>
      <c r="D103" s="31"/>
      <c r="E103" s="31"/>
      <c r="F103" s="31"/>
      <c r="G103" s="31"/>
      <c r="H103" s="35"/>
      <c r="I103" s="31"/>
      <c r="J103" s="34"/>
    </row>
    <row r="104" spans="1:20" s="30" customFormat="1" ht="23.25" x14ac:dyDescent="0.35">
      <c r="A104" s="44"/>
      <c r="B104" s="44"/>
      <c r="C104" s="32"/>
      <c r="D104" s="31"/>
      <c r="E104" s="31"/>
      <c r="F104" s="31"/>
      <c r="G104" s="31"/>
      <c r="H104" s="35"/>
      <c r="I104" s="31"/>
      <c r="J104" s="34"/>
    </row>
    <row r="105" spans="1:20" x14ac:dyDescent="0.25">
      <c r="A105" s="36"/>
      <c r="B105" s="29"/>
      <c r="C105" s="34"/>
      <c r="D105" s="37"/>
      <c r="E105" s="37"/>
      <c r="F105" s="37"/>
      <c r="G105" s="37"/>
      <c r="H105" s="38"/>
      <c r="I105" s="37"/>
      <c r="J105" s="34"/>
    </row>
    <row r="106" spans="1:20" x14ac:dyDescent="0.25">
      <c r="A106" s="36"/>
      <c r="B106" s="29"/>
      <c r="C106" s="34"/>
      <c r="D106" s="37"/>
      <c r="E106" s="37"/>
      <c r="F106" s="37"/>
      <c r="G106" s="37"/>
      <c r="H106" s="37"/>
      <c r="I106" s="37"/>
      <c r="J106" s="37"/>
    </row>
    <row r="112" spans="1:20" x14ac:dyDescent="0.25">
      <c r="L112" s="37"/>
      <c r="M112" s="34"/>
      <c r="N112" s="40"/>
      <c r="O112" s="34"/>
      <c r="P112" s="34"/>
      <c r="R112" s="41"/>
      <c r="S112" s="27"/>
      <c r="T112" s="27"/>
    </row>
    <row r="113" spans="12:20" x14ac:dyDescent="0.25">
      <c r="L113" s="37"/>
      <c r="M113" s="32"/>
      <c r="N113" s="32"/>
      <c r="O113" s="32"/>
      <c r="P113" s="42"/>
      <c r="R113" s="41"/>
      <c r="S113" s="27"/>
      <c r="T113" s="27"/>
    </row>
    <row r="114" spans="12:20" x14ac:dyDescent="0.25">
      <c r="L114" s="37"/>
      <c r="M114" s="43"/>
      <c r="N114" s="43"/>
      <c r="O114" s="43"/>
      <c r="P114" s="37"/>
      <c r="R114" s="41"/>
      <c r="S114" s="27"/>
      <c r="T114" s="41"/>
    </row>
    <row r="115" spans="12:20" x14ac:dyDescent="0.25">
      <c r="L115" s="37"/>
      <c r="M115" s="37"/>
      <c r="N115" s="37"/>
      <c r="O115" s="37"/>
      <c r="P115" s="37"/>
      <c r="R115" s="41"/>
      <c r="S115" s="27"/>
      <c r="T115" s="41"/>
    </row>
    <row r="116" spans="12:20" x14ac:dyDescent="0.25">
      <c r="L116" s="42"/>
      <c r="M116" s="42"/>
      <c r="N116" s="42"/>
      <c r="O116" s="42"/>
      <c r="P116" s="42"/>
    </row>
    <row r="117" spans="12:20" x14ac:dyDescent="0.25">
      <c r="L117" s="38"/>
      <c r="M117" s="42"/>
      <c r="N117" s="42"/>
      <c r="O117" s="42"/>
      <c r="P117" s="42"/>
    </row>
    <row r="118" spans="12:20" x14ac:dyDescent="0.25">
      <c r="L118" s="38"/>
      <c r="M118" s="42"/>
      <c r="N118" s="42"/>
      <c r="O118" s="42"/>
      <c r="P118" s="42"/>
    </row>
    <row r="119" spans="12:20" x14ac:dyDescent="0.25">
      <c r="L119" s="38"/>
      <c r="M119" s="42"/>
      <c r="N119" s="42"/>
      <c r="O119" s="42"/>
      <c r="P119" s="42"/>
    </row>
    <row r="120" spans="12:20" x14ac:dyDescent="0.25">
      <c r="L120" s="38"/>
      <c r="M120" s="42"/>
      <c r="N120" s="42"/>
      <c r="O120" s="42"/>
      <c r="P120" s="42"/>
    </row>
    <row r="121" spans="12:20" x14ac:dyDescent="0.25">
      <c r="L121" s="38"/>
      <c r="M121" s="42"/>
      <c r="N121" s="42"/>
      <c r="O121" s="42"/>
      <c r="P121" s="42"/>
    </row>
    <row r="122" spans="12:20" x14ac:dyDescent="0.25">
      <c r="L122" s="38"/>
      <c r="M122" s="42"/>
      <c r="N122" s="42"/>
      <c r="O122" s="42"/>
      <c r="P122" s="42"/>
    </row>
    <row r="123" spans="12:20" x14ac:dyDescent="0.25">
      <c r="L123" s="38"/>
      <c r="M123" s="42"/>
      <c r="N123" s="42"/>
      <c r="O123" s="42"/>
      <c r="P123" s="42"/>
    </row>
    <row r="124" spans="12:20" x14ac:dyDescent="0.25">
      <c r="L124" s="38"/>
      <c r="M124" s="42"/>
      <c r="N124" s="42"/>
      <c r="O124" s="42"/>
      <c r="P124" s="42"/>
    </row>
    <row r="125" spans="12:20" x14ac:dyDescent="0.25">
      <c r="L125" s="37"/>
      <c r="M125" s="37"/>
      <c r="N125" s="37"/>
      <c r="O125" s="37"/>
      <c r="P125" s="37"/>
    </row>
  </sheetData>
  <mergeCells count="4">
    <mergeCell ref="O17:R17"/>
    <mergeCell ref="O21:R21"/>
    <mergeCell ref="O25:R25"/>
    <mergeCell ref="O29:R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3"/>
  <sheetViews>
    <sheetView zoomScale="78" workbookViewId="0">
      <selection activeCell="D10" sqref="D10"/>
    </sheetView>
  </sheetViews>
  <sheetFormatPr baseColWidth="10" defaultRowHeight="15" x14ac:dyDescent="0.25"/>
  <cols>
    <col min="1" max="1" width="3.42578125" customWidth="1"/>
    <col min="2" max="2" width="19.42578125" customWidth="1"/>
    <col min="3" max="3" width="20.7109375" customWidth="1"/>
    <col min="4" max="4" width="24.5703125" bestFit="1" customWidth="1"/>
    <col min="13" max="13" width="15.140625" customWidth="1"/>
    <col min="14" max="14" width="16.42578125" customWidth="1"/>
    <col min="15" max="15" width="11.5703125" customWidth="1"/>
  </cols>
  <sheetData>
    <row r="1" spans="2:25" x14ac:dyDescent="0.25">
      <c r="I1" t="s">
        <v>98</v>
      </c>
    </row>
    <row r="2" spans="2:25" x14ac:dyDescent="0.25">
      <c r="B2" s="59" t="s">
        <v>99</v>
      </c>
      <c r="C2" s="59" t="s">
        <v>97</v>
      </c>
      <c r="D2" s="59" t="s">
        <v>97</v>
      </c>
      <c r="E2" s="97" t="s">
        <v>96</v>
      </c>
      <c r="F2" s="97"/>
      <c r="G2" s="59" t="s">
        <v>89</v>
      </c>
      <c r="H2" s="60" t="s">
        <v>106</v>
      </c>
      <c r="I2" s="60" t="s">
        <v>99</v>
      </c>
    </row>
    <row r="3" spans="2:25" x14ac:dyDescent="0.25">
      <c r="B3" s="56" t="s">
        <v>98</v>
      </c>
      <c r="C3" s="56" t="s">
        <v>93</v>
      </c>
      <c r="D3" s="56" t="s">
        <v>101</v>
      </c>
      <c r="E3" s="56" t="s">
        <v>94</v>
      </c>
      <c r="F3" s="56" t="s">
        <v>95</v>
      </c>
      <c r="G3" s="56" t="s">
        <v>100</v>
      </c>
      <c r="H3" s="56" t="s">
        <v>105</v>
      </c>
      <c r="I3" s="56" t="s">
        <v>92</v>
      </c>
      <c r="T3" s="59" t="s">
        <v>99</v>
      </c>
      <c r="U3" s="59" t="s">
        <v>97</v>
      </c>
      <c r="V3" s="59" t="s">
        <v>97</v>
      </c>
      <c r="W3" s="59" t="s">
        <v>96</v>
      </c>
      <c r="X3" s="59"/>
      <c r="Y3" s="59" t="s">
        <v>89</v>
      </c>
    </row>
    <row r="4" spans="2:25" x14ac:dyDescent="0.25">
      <c r="B4" s="52">
        <v>0</v>
      </c>
      <c r="C4" s="52">
        <v>2010</v>
      </c>
      <c r="D4" s="52">
        <v>178</v>
      </c>
      <c r="E4" s="55">
        <v>12.811254603174602</v>
      </c>
      <c r="F4" s="52">
        <v>1.2</v>
      </c>
      <c r="G4" s="52">
        <v>1000</v>
      </c>
      <c r="H4" s="63">
        <v>1310204.96883724</v>
      </c>
      <c r="I4" s="62">
        <f>ABS(G4*1000/H4)*100</f>
        <v>76.32393585619387</v>
      </c>
      <c r="T4" s="56" t="s">
        <v>98</v>
      </c>
      <c r="U4" s="56" t="s">
        <v>93</v>
      </c>
      <c r="V4" s="56" t="s">
        <v>101</v>
      </c>
      <c r="W4" s="56" t="s">
        <v>94</v>
      </c>
      <c r="X4" s="56" t="s">
        <v>95</v>
      </c>
      <c r="Y4" s="56" t="s">
        <v>100</v>
      </c>
    </row>
    <row r="5" spans="2:25" x14ac:dyDescent="0.25">
      <c r="B5" s="52">
        <v>0</v>
      </c>
      <c r="C5" s="52">
        <v>2010</v>
      </c>
      <c r="D5" s="52">
        <v>344.9</v>
      </c>
      <c r="E5" s="55">
        <v>13.878859153439153</v>
      </c>
      <c r="F5" s="52">
        <v>1.3</v>
      </c>
      <c r="G5" s="52">
        <v>1000</v>
      </c>
      <c r="H5" s="63">
        <v>1419428.35867558</v>
      </c>
      <c r="I5" s="62">
        <f t="shared" ref="I5:I31" si="0">ABS(G5*1000/H5)*100</f>
        <v>70.450896227905844</v>
      </c>
      <c r="T5" s="52">
        <v>0</v>
      </c>
      <c r="U5" s="52">
        <v>2010</v>
      </c>
      <c r="V5" s="52">
        <v>344.9</v>
      </c>
      <c r="W5" s="61">
        <v>13.878859153439153</v>
      </c>
      <c r="X5" s="52">
        <v>1.3</v>
      </c>
      <c r="Y5" s="52">
        <v>1000</v>
      </c>
    </row>
    <row r="6" spans="2:25" x14ac:dyDescent="0.25">
      <c r="B6" s="52">
        <v>0</v>
      </c>
      <c r="C6" s="52">
        <v>2010</v>
      </c>
      <c r="D6" s="52">
        <v>696.6</v>
      </c>
      <c r="E6" s="55">
        <v>17.081672804232802</v>
      </c>
      <c r="F6" s="52">
        <v>1.6</v>
      </c>
      <c r="G6" s="52">
        <v>1000</v>
      </c>
      <c r="H6" s="63">
        <v>1747003.3863460401</v>
      </c>
      <c r="I6" s="62">
        <f t="shared" si="0"/>
        <v>57.240873590494779</v>
      </c>
      <c r="T6" s="52">
        <v>10</v>
      </c>
      <c r="U6" s="52">
        <v>1888</v>
      </c>
      <c r="V6" s="52">
        <v>322.3</v>
      </c>
      <c r="W6" s="61">
        <v>15.264980549206348</v>
      </c>
      <c r="X6" s="52">
        <v>1.3</v>
      </c>
      <c r="Y6" s="52">
        <v>1000</v>
      </c>
    </row>
    <row r="7" spans="2:25" x14ac:dyDescent="0.25">
      <c r="B7" s="52">
        <v>0</v>
      </c>
      <c r="C7" s="52">
        <v>2010</v>
      </c>
      <c r="D7" s="52">
        <v>857.8</v>
      </c>
      <c r="E7" s="55">
        <v>19.216881904761905</v>
      </c>
      <c r="F7" s="52">
        <v>1.8</v>
      </c>
      <c r="G7" s="52">
        <v>1000</v>
      </c>
      <c r="H7" s="63">
        <v>1960227.19603044</v>
      </c>
      <c r="I7" s="62">
        <f t="shared" si="0"/>
        <v>51.014494749641827</v>
      </c>
      <c r="T7" s="52">
        <v>20</v>
      </c>
      <c r="U7" s="52">
        <v>1776</v>
      </c>
      <c r="V7" s="52">
        <v>301.60000000000002</v>
      </c>
      <c r="W7" s="61">
        <v>16.651101944973547</v>
      </c>
      <c r="X7" s="52">
        <v>1.3</v>
      </c>
      <c r="Y7" s="52">
        <v>1000</v>
      </c>
    </row>
    <row r="8" spans="2:25" x14ac:dyDescent="0.25">
      <c r="E8" s="49"/>
      <c r="T8" s="52">
        <v>30</v>
      </c>
      <c r="U8" s="52">
        <v>1675</v>
      </c>
      <c r="V8" s="52">
        <v>283.5</v>
      </c>
      <c r="W8" s="61">
        <v>18.037223340740741</v>
      </c>
      <c r="X8" s="52">
        <v>1.3</v>
      </c>
      <c r="Y8" s="52">
        <v>1000</v>
      </c>
    </row>
    <row r="9" spans="2:25" x14ac:dyDescent="0.25">
      <c r="B9" s="59" t="s">
        <v>99</v>
      </c>
      <c r="C9" s="59" t="s">
        <v>97</v>
      </c>
      <c r="D9" s="59" t="s">
        <v>97</v>
      </c>
      <c r="E9" s="97" t="s">
        <v>96</v>
      </c>
      <c r="F9" s="97"/>
      <c r="G9" s="59" t="s">
        <v>89</v>
      </c>
      <c r="H9" s="60"/>
      <c r="I9" s="60"/>
    </row>
    <row r="10" spans="2:25" x14ac:dyDescent="0.25">
      <c r="B10" s="56" t="s">
        <v>98</v>
      </c>
      <c r="C10" s="56" t="s">
        <v>93</v>
      </c>
      <c r="D10" s="56" t="s">
        <v>101</v>
      </c>
      <c r="E10" s="56" t="s">
        <v>94</v>
      </c>
      <c r="F10" s="56" t="s">
        <v>95</v>
      </c>
      <c r="G10" s="56" t="s">
        <v>100</v>
      </c>
      <c r="H10" s="56" t="s">
        <v>105</v>
      </c>
      <c r="I10" s="56" t="s">
        <v>92</v>
      </c>
    </row>
    <row r="11" spans="2:25" x14ac:dyDescent="0.25">
      <c r="B11" s="52">
        <v>10</v>
      </c>
      <c r="C11" s="52">
        <v>1888</v>
      </c>
      <c r="D11" s="52">
        <v>168.7</v>
      </c>
      <c r="E11" s="55">
        <v>14.090751276190476</v>
      </c>
      <c r="F11" s="52">
        <v>1.2</v>
      </c>
      <c r="G11" s="52">
        <v>1000</v>
      </c>
      <c r="H11" s="63">
        <v>1314383.3395616501</v>
      </c>
      <c r="I11" s="62">
        <f>ABS(G11*1000/H11)*100</f>
        <v>76.081305194685626</v>
      </c>
    </row>
    <row r="12" spans="2:25" x14ac:dyDescent="0.25">
      <c r="B12" s="52">
        <v>10</v>
      </c>
      <c r="C12" s="52">
        <v>1888</v>
      </c>
      <c r="D12" s="52">
        <v>322.3</v>
      </c>
      <c r="E12" s="55">
        <v>15.264980549206348</v>
      </c>
      <c r="F12" s="52">
        <v>1.3</v>
      </c>
      <c r="G12" s="52">
        <v>1000</v>
      </c>
      <c r="H12" s="63">
        <v>1423915.2845164901</v>
      </c>
      <c r="I12" s="62">
        <f>ABS(G12*1000/H12)*100</f>
        <v>70.228897103212404</v>
      </c>
    </row>
    <row r="13" spans="2:25" x14ac:dyDescent="0.25">
      <c r="B13" s="52">
        <v>10</v>
      </c>
      <c r="C13" s="52">
        <v>1888</v>
      </c>
      <c r="D13" s="52">
        <v>649.29999999999995</v>
      </c>
      <c r="E13" s="55">
        <v>18.787668368253968</v>
      </c>
      <c r="F13" s="52">
        <v>1.6</v>
      </c>
      <c r="G13" s="52">
        <v>1000</v>
      </c>
      <c r="H13" s="63">
        <v>1752511.11940697</v>
      </c>
      <c r="I13" s="62">
        <f>ABS(G13*1000/H13)*100</f>
        <v>57.060978896293037</v>
      </c>
    </row>
    <row r="14" spans="2:25" x14ac:dyDescent="0.25">
      <c r="B14" s="52">
        <v>10</v>
      </c>
      <c r="C14" s="52">
        <v>1888</v>
      </c>
      <c r="D14" s="52">
        <v>799.6</v>
      </c>
      <c r="E14" s="55">
        <v>21.136126914285715</v>
      </c>
      <c r="F14" s="52">
        <v>1.8</v>
      </c>
      <c r="G14" s="52">
        <v>1000</v>
      </c>
      <c r="H14" s="63">
        <v>1971575.0093165699</v>
      </c>
      <c r="I14" s="62">
        <f>ABS(G14*1000/H14)*100</f>
        <v>50.720870130456852</v>
      </c>
    </row>
    <row r="18" spans="2:9" x14ac:dyDescent="0.25">
      <c r="B18" s="59" t="s">
        <v>99</v>
      </c>
      <c r="C18" s="59" t="s">
        <v>97</v>
      </c>
      <c r="D18" s="59" t="s">
        <v>97</v>
      </c>
      <c r="E18" s="97" t="s">
        <v>96</v>
      </c>
      <c r="F18" s="97"/>
      <c r="G18" s="59" t="s">
        <v>89</v>
      </c>
      <c r="H18" s="60"/>
      <c r="I18" s="60"/>
    </row>
    <row r="19" spans="2:9" x14ac:dyDescent="0.25">
      <c r="B19" s="56" t="s">
        <v>98</v>
      </c>
      <c r="C19" s="56" t="s">
        <v>93</v>
      </c>
      <c r="D19" s="56" t="s">
        <v>101</v>
      </c>
      <c r="E19" s="56" t="s">
        <v>94</v>
      </c>
      <c r="F19" s="56" t="s">
        <v>95</v>
      </c>
      <c r="G19" s="56" t="s">
        <v>100</v>
      </c>
      <c r="H19" s="56" t="s">
        <v>105</v>
      </c>
      <c r="I19" s="56" t="s">
        <v>92</v>
      </c>
    </row>
    <row r="20" spans="2:9" x14ac:dyDescent="0.25">
      <c r="B20" s="52">
        <v>20</v>
      </c>
      <c r="C20" s="52">
        <v>1776</v>
      </c>
      <c r="D20" s="52">
        <v>158.6</v>
      </c>
      <c r="E20" s="55">
        <v>15.370247949206348</v>
      </c>
      <c r="F20" s="52">
        <v>1.2</v>
      </c>
      <c r="G20" s="52">
        <v>1000</v>
      </c>
      <c r="H20" s="63">
        <v>1317701.3639833799</v>
      </c>
      <c r="I20" s="62">
        <f t="shared" si="0"/>
        <v>75.88972944347752</v>
      </c>
    </row>
    <row r="21" spans="2:9" x14ac:dyDescent="0.25">
      <c r="B21" s="52">
        <v>20</v>
      </c>
      <c r="C21" s="52">
        <v>1776</v>
      </c>
      <c r="D21" s="52">
        <v>301.60000000000002</v>
      </c>
      <c r="E21" s="55">
        <v>16.651101944973547</v>
      </c>
      <c r="F21" s="52">
        <v>1.3</v>
      </c>
      <c r="G21" s="52">
        <v>1000</v>
      </c>
      <c r="H21" s="63">
        <v>1427506.9533598199</v>
      </c>
      <c r="I21" s="62">
        <f t="shared" si="0"/>
        <v>70.052198179936866</v>
      </c>
    </row>
    <row r="22" spans="2:9" x14ac:dyDescent="0.25">
      <c r="B22" s="52">
        <v>20</v>
      </c>
      <c r="C22" s="52">
        <v>1776</v>
      </c>
      <c r="D22" s="52">
        <v>607.20000000000005</v>
      </c>
      <c r="E22" s="55">
        <v>20.49366393227513</v>
      </c>
      <c r="F22" s="52">
        <v>1.6</v>
      </c>
      <c r="G22" s="52">
        <v>1000</v>
      </c>
      <c r="H22" s="63">
        <v>1756935.15196936</v>
      </c>
      <c r="I22" s="62">
        <f t="shared" si="0"/>
        <v>56.917297082882854</v>
      </c>
    </row>
    <row r="23" spans="2:9" x14ac:dyDescent="0.25">
      <c r="B23" s="52">
        <v>20</v>
      </c>
      <c r="C23" s="52">
        <v>1776</v>
      </c>
      <c r="D23" s="52">
        <v>747.9</v>
      </c>
      <c r="E23" s="55">
        <v>23.05537192380952</v>
      </c>
      <c r="F23" s="52">
        <v>1.8</v>
      </c>
      <c r="G23" s="52">
        <v>1000</v>
      </c>
      <c r="H23" s="63">
        <v>1976552.0459621099</v>
      </c>
      <c r="I23" s="62">
        <f t="shared" si="0"/>
        <v>50.59315296265008</v>
      </c>
    </row>
    <row r="26" spans="2:9" x14ac:dyDescent="0.25">
      <c r="B26" s="59" t="s">
        <v>99</v>
      </c>
      <c r="C26" s="59" t="s">
        <v>97</v>
      </c>
      <c r="D26" s="59" t="s">
        <v>97</v>
      </c>
      <c r="E26" s="97" t="s">
        <v>96</v>
      </c>
      <c r="F26" s="97"/>
      <c r="G26" s="59" t="s">
        <v>89</v>
      </c>
      <c r="H26" s="60"/>
      <c r="I26" s="60"/>
    </row>
    <row r="27" spans="2:9" x14ac:dyDescent="0.25">
      <c r="B27" s="56" t="s">
        <v>98</v>
      </c>
      <c r="C27" s="56" t="s">
        <v>93</v>
      </c>
      <c r="D27" s="56" t="s">
        <v>101</v>
      </c>
      <c r="E27" s="56" t="s">
        <v>94</v>
      </c>
      <c r="F27" s="56" t="s">
        <v>95</v>
      </c>
      <c r="G27" s="56" t="s">
        <v>100</v>
      </c>
      <c r="H27" s="56" t="s">
        <v>105</v>
      </c>
      <c r="I27" s="56" t="s">
        <v>92</v>
      </c>
    </row>
    <row r="28" spans="2:9" x14ac:dyDescent="0.25">
      <c r="B28" s="52">
        <v>30</v>
      </c>
      <c r="C28" s="52">
        <v>1675</v>
      </c>
      <c r="D28" s="52">
        <v>150</v>
      </c>
      <c r="E28" s="55">
        <v>16.649999999999999</v>
      </c>
      <c r="F28" s="52">
        <v>1.2</v>
      </c>
      <c r="G28" s="52">
        <v>1000</v>
      </c>
      <c r="H28" s="63">
        <v>1321020.10932913</v>
      </c>
      <c r="I28" s="62">
        <f t="shared" si="0"/>
        <v>75.699074748214272</v>
      </c>
    </row>
    <row r="29" spans="2:9" x14ac:dyDescent="0.25">
      <c r="B29" s="52">
        <v>30</v>
      </c>
      <c r="C29" s="52">
        <v>1675</v>
      </c>
      <c r="D29" s="52">
        <v>283.60000000000002</v>
      </c>
      <c r="E29" s="55">
        <v>18.037223340740741</v>
      </c>
      <c r="F29" s="52">
        <v>1.3</v>
      </c>
      <c r="G29" s="52">
        <v>1000</v>
      </c>
      <c r="H29" s="63">
        <v>1431104.4009799999</v>
      </c>
      <c r="I29" s="62">
        <f t="shared" si="0"/>
        <v>69.876104029532314</v>
      </c>
    </row>
    <row r="30" spans="2:9" x14ac:dyDescent="0.25">
      <c r="B30" s="52">
        <v>30</v>
      </c>
      <c r="C30" s="52">
        <v>1675</v>
      </c>
      <c r="D30" s="52">
        <v>570.4</v>
      </c>
      <c r="E30" s="55">
        <v>22.2</v>
      </c>
      <c r="F30" s="52">
        <v>1.6</v>
      </c>
      <c r="G30" s="52">
        <v>1000</v>
      </c>
      <c r="H30" s="63">
        <v>1761360.14577217</v>
      </c>
      <c r="I30" s="62">
        <f t="shared" si="0"/>
        <v>56.774306061160807</v>
      </c>
    </row>
    <row r="31" spans="2:9" x14ac:dyDescent="0.25">
      <c r="B31" s="52">
        <v>30</v>
      </c>
      <c r="C31" s="52">
        <v>1675</v>
      </c>
      <c r="D31" s="52">
        <v>700.2</v>
      </c>
      <c r="E31" s="55">
        <v>24.97</v>
      </c>
      <c r="F31" s="52">
        <v>1.8</v>
      </c>
      <c r="G31" s="52">
        <v>1000</v>
      </c>
      <c r="H31" s="63">
        <v>1981517.19753731</v>
      </c>
      <c r="I31" s="62">
        <f t="shared" si="0"/>
        <v>50.466380066891702</v>
      </c>
    </row>
    <row r="33" spans="2:9" x14ac:dyDescent="0.25">
      <c r="B33" s="54"/>
      <c r="C33" s="54"/>
      <c r="D33" s="54"/>
      <c r="E33" s="54"/>
      <c r="F33" s="54"/>
      <c r="G33" s="54"/>
      <c r="H33" s="54"/>
      <c r="I33" s="54"/>
    </row>
    <row r="34" spans="2:9" x14ac:dyDescent="0.25">
      <c r="B34" s="54"/>
      <c r="C34" s="54"/>
      <c r="D34" s="54"/>
      <c r="E34" s="54"/>
      <c r="F34" s="54"/>
      <c r="G34" s="54"/>
      <c r="H34" s="54"/>
      <c r="I34" s="54"/>
    </row>
    <row r="35" spans="2:9" x14ac:dyDescent="0.25">
      <c r="B35" s="104" t="s">
        <v>113</v>
      </c>
      <c r="C35" s="104" t="s">
        <v>93</v>
      </c>
      <c r="D35" s="104" t="s">
        <v>112</v>
      </c>
      <c r="E35" s="104" t="s">
        <v>92</v>
      </c>
    </row>
    <row r="36" spans="2:9" x14ac:dyDescent="0.25">
      <c r="B36" s="105">
        <v>0</v>
      </c>
      <c r="C36" s="105">
        <v>2010</v>
      </c>
      <c r="D36" s="105">
        <v>1.2</v>
      </c>
      <c r="E36" s="106">
        <v>76.32393585619387</v>
      </c>
    </row>
    <row r="37" spans="2:9" x14ac:dyDescent="0.25">
      <c r="B37" s="105"/>
      <c r="C37" s="105"/>
      <c r="D37" s="105">
        <v>1.3</v>
      </c>
      <c r="E37" s="106">
        <v>70.450896227905844</v>
      </c>
    </row>
    <row r="38" spans="2:9" x14ac:dyDescent="0.25">
      <c r="B38" s="107"/>
      <c r="C38" s="105"/>
      <c r="D38" s="106">
        <v>1.6</v>
      </c>
      <c r="E38" s="106">
        <v>57.240873590494779</v>
      </c>
    </row>
    <row r="39" spans="2:9" x14ac:dyDescent="0.25">
      <c r="B39" s="105">
        <v>10</v>
      </c>
      <c r="C39" s="105">
        <v>1888</v>
      </c>
      <c r="D39" s="106">
        <v>1.2</v>
      </c>
      <c r="E39" s="106">
        <v>76.081305194685626</v>
      </c>
    </row>
    <row r="40" spans="2:9" x14ac:dyDescent="0.25">
      <c r="B40" s="105"/>
      <c r="C40" s="105"/>
      <c r="D40" s="106">
        <v>1.3</v>
      </c>
      <c r="E40" s="106">
        <v>70.228897103212404</v>
      </c>
    </row>
    <row r="41" spans="2:9" x14ac:dyDescent="0.25">
      <c r="B41" s="103"/>
      <c r="C41" s="108"/>
      <c r="D41" s="109">
        <v>1.6</v>
      </c>
      <c r="E41" s="109">
        <v>57.060978896293037</v>
      </c>
    </row>
    <row r="42" spans="2:9" x14ac:dyDescent="0.25">
      <c r="B42" s="105">
        <v>20</v>
      </c>
      <c r="C42" s="105">
        <v>1776</v>
      </c>
      <c r="D42" s="106">
        <v>1.2</v>
      </c>
      <c r="E42" s="106">
        <v>75.88972944347752</v>
      </c>
    </row>
    <row r="43" spans="2:9" x14ac:dyDescent="0.25">
      <c r="B43" s="105"/>
      <c r="C43" s="105"/>
      <c r="D43" s="106">
        <v>1.3</v>
      </c>
      <c r="E43" s="106">
        <v>70.052198179936866</v>
      </c>
    </row>
    <row r="44" spans="2:9" x14ac:dyDescent="0.25">
      <c r="B44" s="103"/>
      <c r="C44" s="108"/>
      <c r="D44" s="109">
        <v>1.6</v>
      </c>
      <c r="E44" s="109">
        <v>56.917297082882854</v>
      </c>
    </row>
    <row r="45" spans="2:9" x14ac:dyDescent="0.25">
      <c r="B45" s="105">
        <v>30</v>
      </c>
      <c r="C45" s="105">
        <v>1675</v>
      </c>
      <c r="D45" s="106">
        <v>1.2</v>
      </c>
      <c r="E45" s="106">
        <v>75.699074748214272</v>
      </c>
    </row>
    <row r="46" spans="2:9" x14ac:dyDescent="0.25">
      <c r="B46" s="105"/>
      <c r="C46" s="105"/>
      <c r="D46" s="106">
        <v>1.3</v>
      </c>
      <c r="E46" s="106">
        <v>69.876104029532314</v>
      </c>
    </row>
    <row r="47" spans="2:9" x14ac:dyDescent="0.25">
      <c r="B47" s="103"/>
      <c r="C47" s="108"/>
      <c r="D47" s="109">
        <v>1.6</v>
      </c>
      <c r="E47" s="109">
        <v>50.466380066891702</v>
      </c>
    </row>
    <row r="52" spans="2:4" x14ac:dyDescent="0.25">
      <c r="B52" t="s">
        <v>94</v>
      </c>
      <c r="C52" t="s">
        <v>111</v>
      </c>
      <c r="D52" t="s">
        <v>102</v>
      </c>
    </row>
    <row r="53" spans="2:4" x14ac:dyDescent="0.25">
      <c r="B53">
        <f>'Balance de materia'!F34</f>
        <v>15.264980549206348</v>
      </c>
      <c r="C53">
        <v>1300</v>
      </c>
      <c r="D53">
        <v>10</v>
      </c>
    </row>
  </sheetData>
  <mergeCells count="4">
    <mergeCell ref="E9:F9"/>
    <mergeCell ref="E18:F18"/>
    <mergeCell ref="E26:F26"/>
    <mergeCell ref="E2:F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F31"/>
  <sheetViews>
    <sheetView zoomScale="36" workbookViewId="0">
      <selection activeCell="J35" sqref="J35"/>
    </sheetView>
  </sheetViews>
  <sheetFormatPr baseColWidth="10" defaultRowHeight="15" x14ac:dyDescent="0.25"/>
  <cols>
    <col min="1" max="1" width="4.42578125" customWidth="1"/>
    <col min="3" max="3" width="17" customWidth="1"/>
    <col min="4" max="4" width="15.5703125" bestFit="1" customWidth="1"/>
    <col min="5" max="5" width="15.5703125" customWidth="1"/>
    <col min="6" max="6" width="23.140625" bestFit="1" customWidth="1"/>
    <col min="15" max="15" width="17" bestFit="1" customWidth="1"/>
    <col min="16" max="16" width="15.5703125" bestFit="1" customWidth="1"/>
    <col min="17" max="17" width="13.7109375" bestFit="1" customWidth="1"/>
    <col min="18" max="18" width="23.140625" bestFit="1" customWidth="1"/>
    <col min="29" max="29" width="13.7109375" bestFit="1" customWidth="1"/>
    <col min="30" max="30" width="23.140625" bestFit="1" customWidth="1"/>
    <col min="41" max="41" width="13.7109375" bestFit="1" customWidth="1"/>
    <col min="42" max="42" width="23.140625" bestFit="1" customWidth="1"/>
    <col min="53" max="53" width="13.7109375" bestFit="1" customWidth="1"/>
    <col min="54" max="54" width="23.140625" bestFit="1" customWidth="1"/>
    <col min="65" max="65" width="13.7109375" bestFit="1" customWidth="1"/>
    <col min="66" max="66" width="23.140625" bestFit="1" customWidth="1"/>
  </cols>
  <sheetData>
    <row r="2" spans="2:84" x14ac:dyDescent="0.25">
      <c r="B2" s="64" t="s">
        <v>99</v>
      </c>
      <c r="C2" s="64" t="s">
        <v>97</v>
      </c>
      <c r="D2" s="64" t="s">
        <v>97</v>
      </c>
      <c r="E2" s="64" t="s">
        <v>97</v>
      </c>
      <c r="F2" s="64" t="s">
        <v>97</v>
      </c>
      <c r="G2" s="100" t="s">
        <v>96</v>
      </c>
      <c r="H2" s="100"/>
      <c r="I2" s="64" t="s">
        <v>89</v>
      </c>
      <c r="J2" s="64" t="s">
        <v>106</v>
      </c>
      <c r="K2" s="64" t="s">
        <v>106</v>
      </c>
      <c r="L2" s="65"/>
      <c r="N2" s="64" t="s">
        <v>99</v>
      </c>
      <c r="O2" s="64" t="s">
        <v>97</v>
      </c>
      <c r="P2" s="64" t="s">
        <v>97</v>
      </c>
      <c r="Q2" s="64" t="s">
        <v>97</v>
      </c>
      <c r="R2" s="64" t="s">
        <v>97</v>
      </c>
      <c r="S2" s="100" t="s">
        <v>96</v>
      </c>
      <c r="T2" s="100"/>
      <c r="U2" s="64" t="s">
        <v>89</v>
      </c>
      <c r="V2" s="64" t="s">
        <v>106</v>
      </c>
      <c r="W2" s="64" t="s">
        <v>106</v>
      </c>
      <c r="X2" s="65"/>
      <c r="Z2" s="64" t="s">
        <v>99</v>
      </c>
      <c r="AA2" s="64" t="s">
        <v>97</v>
      </c>
      <c r="AB2" s="64" t="s">
        <v>97</v>
      </c>
      <c r="AC2" s="64" t="s">
        <v>97</v>
      </c>
      <c r="AD2" s="64" t="s">
        <v>97</v>
      </c>
      <c r="AE2" s="100" t="s">
        <v>96</v>
      </c>
      <c r="AF2" s="100"/>
      <c r="AG2" s="64" t="s">
        <v>89</v>
      </c>
      <c r="AH2" s="64" t="s">
        <v>106</v>
      </c>
      <c r="AI2" s="64" t="s">
        <v>106</v>
      </c>
      <c r="AJ2" s="65"/>
      <c r="AL2" s="64" t="s">
        <v>99</v>
      </c>
      <c r="AM2" s="64" t="s">
        <v>97</v>
      </c>
      <c r="AN2" s="64" t="s">
        <v>97</v>
      </c>
      <c r="AO2" s="64" t="s">
        <v>97</v>
      </c>
      <c r="AP2" s="64" t="s">
        <v>97</v>
      </c>
      <c r="AQ2" s="100" t="s">
        <v>96</v>
      </c>
      <c r="AR2" s="100"/>
      <c r="AS2" s="64" t="s">
        <v>89</v>
      </c>
      <c r="AT2" s="64" t="s">
        <v>106</v>
      </c>
      <c r="AU2" s="64" t="s">
        <v>106</v>
      </c>
      <c r="AV2" s="65"/>
      <c r="AX2" s="64" t="s">
        <v>99</v>
      </c>
      <c r="AY2" s="64" t="s">
        <v>97</v>
      </c>
      <c r="AZ2" s="64" t="s">
        <v>97</v>
      </c>
      <c r="BA2" s="64" t="s">
        <v>97</v>
      </c>
      <c r="BB2" s="64" t="s">
        <v>97</v>
      </c>
      <c r="BC2" s="100" t="s">
        <v>96</v>
      </c>
      <c r="BD2" s="100"/>
      <c r="BE2" s="64" t="s">
        <v>89</v>
      </c>
      <c r="BF2" s="64" t="s">
        <v>106</v>
      </c>
      <c r="BG2" s="64" t="s">
        <v>106</v>
      </c>
      <c r="BH2" s="65"/>
      <c r="BJ2" s="64" t="s">
        <v>99</v>
      </c>
      <c r="BK2" s="64" t="s">
        <v>97</v>
      </c>
      <c r="BL2" s="64" t="s">
        <v>97</v>
      </c>
      <c r="BM2" s="64" t="s">
        <v>97</v>
      </c>
      <c r="BN2" s="64" t="s">
        <v>97</v>
      </c>
      <c r="BO2" s="100" t="s">
        <v>96</v>
      </c>
      <c r="BP2" s="100"/>
      <c r="BQ2" s="64" t="s">
        <v>89</v>
      </c>
      <c r="BR2" s="64" t="s">
        <v>106</v>
      </c>
      <c r="BS2" s="64" t="s">
        <v>106</v>
      </c>
      <c r="BT2" s="65"/>
      <c r="BV2" s="64" t="s">
        <v>99</v>
      </c>
      <c r="BW2" s="64" t="s">
        <v>97</v>
      </c>
      <c r="BX2" s="64" t="s">
        <v>97</v>
      </c>
      <c r="BY2" s="64" t="s">
        <v>97</v>
      </c>
      <c r="BZ2" s="64" t="s">
        <v>97</v>
      </c>
      <c r="CA2" s="100" t="s">
        <v>96</v>
      </c>
      <c r="CB2" s="100"/>
      <c r="CC2" s="64" t="s">
        <v>89</v>
      </c>
      <c r="CD2" s="64" t="s">
        <v>106</v>
      </c>
      <c r="CE2" s="64" t="s">
        <v>106</v>
      </c>
      <c r="CF2" s="65"/>
    </row>
    <row r="3" spans="2:84" x14ac:dyDescent="0.25">
      <c r="B3" s="52" t="s">
        <v>98</v>
      </c>
      <c r="C3" s="52" t="s">
        <v>103</v>
      </c>
      <c r="D3" s="52" t="s">
        <v>93</v>
      </c>
      <c r="E3" s="53" t="s">
        <v>107</v>
      </c>
      <c r="F3" s="52" t="s">
        <v>101</v>
      </c>
      <c r="G3" s="53" t="s">
        <v>94</v>
      </c>
      <c r="H3" s="53" t="s">
        <v>95</v>
      </c>
      <c r="I3" s="53" t="s">
        <v>100</v>
      </c>
      <c r="J3" s="53" t="s">
        <v>104</v>
      </c>
      <c r="K3" s="53" t="s">
        <v>105</v>
      </c>
      <c r="L3" s="53" t="s">
        <v>92</v>
      </c>
      <c r="N3" s="52" t="s">
        <v>98</v>
      </c>
      <c r="O3" s="52" t="s">
        <v>103</v>
      </c>
      <c r="P3" s="52" t="s">
        <v>93</v>
      </c>
      <c r="Q3" s="53" t="s">
        <v>107</v>
      </c>
      <c r="R3" s="52" t="s">
        <v>101</v>
      </c>
      <c r="S3" s="53" t="s">
        <v>94</v>
      </c>
      <c r="T3" s="53" t="s">
        <v>95</v>
      </c>
      <c r="U3" s="53" t="s">
        <v>100</v>
      </c>
      <c r="V3" s="53" t="s">
        <v>104</v>
      </c>
      <c r="W3" s="53" t="s">
        <v>105</v>
      </c>
      <c r="X3" s="53" t="s">
        <v>92</v>
      </c>
      <c r="Z3" s="52" t="s">
        <v>98</v>
      </c>
      <c r="AA3" s="52" t="s">
        <v>103</v>
      </c>
      <c r="AB3" s="52" t="s">
        <v>93</v>
      </c>
      <c r="AC3" s="53" t="s">
        <v>107</v>
      </c>
      <c r="AD3" s="52" t="s">
        <v>101</v>
      </c>
      <c r="AE3" s="53" t="s">
        <v>94</v>
      </c>
      <c r="AF3" s="53" t="s">
        <v>95</v>
      </c>
      <c r="AG3" s="53" t="s">
        <v>100</v>
      </c>
      <c r="AH3" s="53" t="s">
        <v>104</v>
      </c>
      <c r="AI3" s="53" t="s">
        <v>105</v>
      </c>
      <c r="AJ3" s="53" t="s">
        <v>92</v>
      </c>
      <c r="AL3" s="52" t="s">
        <v>98</v>
      </c>
      <c r="AM3" s="52" t="s">
        <v>103</v>
      </c>
      <c r="AN3" s="52" t="s">
        <v>93</v>
      </c>
      <c r="AO3" s="53" t="s">
        <v>107</v>
      </c>
      <c r="AP3" s="52" t="s">
        <v>101</v>
      </c>
      <c r="AQ3" s="53" t="s">
        <v>94</v>
      </c>
      <c r="AR3" s="53" t="s">
        <v>95</v>
      </c>
      <c r="AS3" s="53" t="s">
        <v>100</v>
      </c>
      <c r="AT3" s="53" t="s">
        <v>104</v>
      </c>
      <c r="AU3" s="53" t="s">
        <v>105</v>
      </c>
      <c r="AV3" s="53" t="s">
        <v>92</v>
      </c>
      <c r="AX3" s="52" t="s">
        <v>98</v>
      </c>
      <c r="AY3" s="52" t="s">
        <v>103</v>
      </c>
      <c r="AZ3" s="52" t="s">
        <v>93</v>
      </c>
      <c r="BA3" s="53" t="s">
        <v>107</v>
      </c>
      <c r="BB3" s="52" t="s">
        <v>101</v>
      </c>
      <c r="BC3" s="53" t="s">
        <v>94</v>
      </c>
      <c r="BD3" s="53" t="s">
        <v>95</v>
      </c>
      <c r="BE3" s="53" t="s">
        <v>100</v>
      </c>
      <c r="BF3" s="53" t="s">
        <v>104</v>
      </c>
      <c r="BG3" s="53" t="s">
        <v>105</v>
      </c>
      <c r="BH3" s="53" t="s">
        <v>92</v>
      </c>
      <c r="BJ3" s="52" t="s">
        <v>98</v>
      </c>
      <c r="BK3" s="52" t="s">
        <v>103</v>
      </c>
      <c r="BL3" s="52" t="s">
        <v>93</v>
      </c>
      <c r="BM3" s="53" t="s">
        <v>107</v>
      </c>
      <c r="BN3" s="52" t="s">
        <v>101</v>
      </c>
      <c r="BO3" s="53" t="s">
        <v>94</v>
      </c>
      <c r="BP3" s="53" t="s">
        <v>95</v>
      </c>
      <c r="BQ3" s="53" t="s">
        <v>100</v>
      </c>
      <c r="BR3" s="53" t="s">
        <v>104</v>
      </c>
      <c r="BS3" s="53" t="s">
        <v>105</v>
      </c>
      <c r="BT3" s="53" t="s">
        <v>92</v>
      </c>
      <c r="BV3" s="52" t="s">
        <v>98</v>
      </c>
      <c r="BW3" s="52" t="s">
        <v>103</v>
      </c>
      <c r="BX3" s="52" t="s">
        <v>93</v>
      </c>
      <c r="BY3" s="53" t="s">
        <v>107</v>
      </c>
      <c r="BZ3" s="52" t="s">
        <v>101</v>
      </c>
      <c r="CA3" s="53" t="s">
        <v>94</v>
      </c>
      <c r="CB3" s="53" t="s">
        <v>95</v>
      </c>
      <c r="CC3" s="53" t="s">
        <v>100</v>
      </c>
      <c r="CD3" s="53" t="s">
        <v>104</v>
      </c>
      <c r="CE3" s="53" t="s">
        <v>105</v>
      </c>
      <c r="CF3" s="53" t="s">
        <v>92</v>
      </c>
    </row>
    <row r="4" spans="2:84" x14ac:dyDescent="0.25">
      <c r="B4" s="52">
        <v>0</v>
      </c>
      <c r="C4" s="52">
        <v>100</v>
      </c>
      <c r="D4" s="52">
        <v>2051</v>
      </c>
      <c r="E4" s="66">
        <v>238.249636082949</v>
      </c>
      <c r="F4" s="53">
        <v>178.8</v>
      </c>
      <c r="G4" s="55">
        <v>12.811254603174602</v>
      </c>
      <c r="H4" s="52">
        <v>1.2</v>
      </c>
      <c r="I4" s="53">
        <v>1000</v>
      </c>
      <c r="J4" s="63">
        <v>27210.436985622899</v>
      </c>
      <c r="K4" s="63">
        <v>1200878.99943828</v>
      </c>
      <c r="L4" s="62">
        <f>(I4*1000+J4)/K4*100</f>
        <v>85.538213047784836</v>
      </c>
      <c r="N4" s="52">
        <v>0</v>
      </c>
      <c r="O4" s="52">
        <v>200</v>
      </c>
      <c r="P4" s="52">
        <v>2107.3025162171798</v>
      </c>
      <c r="Q4" s="66">
        <v>320.85585153129199</v>
      </c>
      <c r="R4" s="53">
        <v>178.77212870225199</v>
      </c>
      <c r="S4" s="55">
        <v>12.811254603174602</v>
      </c>
      <c r="T4" s="52">
        <v>1.2</v>
      </c>
      <c r="U4" s="53">
        <v>1000</v>
      </c>
      <c r="V4" s="63">
        <v>65666.891514522606</v>
      </c>
      <c r="W4" s="63">
        <v>1239335.4583886201</v>
      </c>
      <c r="X4" s="62">
        <f>(U4*1000+V4)/W4*100</f>
        <v>85.986960536100469</v>
      </c>
      <c r="Z4" s="52">
        <v>0</v>
      </c>
      <c r="AA4" s="52">
        <v>300</v>
      </c>
      <c r="AB4" s="52">
        <v>2163.27549577842</v>
      </c>
      <c r="AC4" s="66">
        <v>403.45726476082802</v>
      </c>
      <c r="AD4" s="53">
        <v>178.772132140445</v>
      </c>
      <c r="AE4" s="55">
        <v>12.811254603174602</v>
      </c>
      <c r="AF4" s="52">
        <v>1.2</v>
      </c>
      <c r="AG4" s="53">
        <v>1000</v>
      </c>
      <c r="AH4" s="63">
        <v>104893.05850104</v>
      </c>
      <c r="AI4" s="63">
        <v>1278561.6253616901</v>
      </c>
      <c r="AJ4" s="62">
        <f>(AG4*1000+AH4)/AI4*100</f>
        <v>86.41687945142877</v>
      </c>
      <c r="AL4" s="52">
        <v>0</v>
      </c>
      <c r="AM4" s="52">
        <v>400</v>
      </c>
      <c r="AN4" s="52">
        <v>2218.7357156466101</v>
      </c>
      <c r="AO4" s="66">
        <v>486.04976580364001</v>
      </c>
      <c r="AP4" s="53">
        <v>178.772132140445</v>
      </c>
      <c r="AQ4" s="55">
        <v>12.811254603174602</v>
      </c>
      <c r="AR4" s="52">
        <v>1.2</v>
      </c>
      <c r="AS4" s="53">
        <v>1000</v>
      </c>
      <c r="AT4" s="63">
        <v>144870.694436964</v>
      </c>
      <c r="AU4" s="63">
        <v>1318539.26130923</v>
      </c>
      <c r="AV4" s="62">
        <f>(AS4*1000+AT4)/AU4*100</f>
        <v>86.828714777910861</v>
      </c>
      <c r="AX4" s="52">
        <v>0</v>
      </c>
      <c r="AY4" s="52">
        <v>500</v>
      </c>
      <c r="AZ4" s="52">
        <v>2273.5933327080602</v>
      </c>
      <c r="BA4" s="66">
        <v>568.628390559173</v>
      </c>
      <c r="BB4" s="53">
        <v>178.8</v>
      </c>
      <c r="BC4" s="55">
        <v>12.811254603174602</v>
      </c>
      <c r="BD4" s="52">
        <v>1.2</v>
      </c>
      <c r="BE4" s="53">
        <v>1000</v>
      </c>
      <c r="BF4" s="63">
        <v>185571.96938011001</v>
      </c>
      <c r="BG4" s="63">
        <v>1359240.5253977999</v>
      </c>
      <c r="BH4" s="62">
        <f>(BE4*1000+BF4)/BG4*100</f>
        <v>87.223118147771274</v>
      </c>
      <c r="BJ4" s="52">
        <v>0</v>
      </c>
      <c r="BK4" s="52">
        <v>600</v>
      </c>
      <c r="BL4" s="52">
        <v>2327.6865946526</v>
      </c>
      <c r="BM4" s="66">
        <v>651.18845149681397</v>
      </c>
      <c r="BN4" s="53">
        <v>178.77213213765</v>
      </c>
      <c r="BO4" s="55">
        <v>12.811254603174602</v>
      </c>
      <c r="BP4" s="52">
        <v>1.2</v>
      </c>
      <c r="BQ4" s="53">
        <v>1000</v>
      </c>
      <c r="BR4" s="63">
        <v>226962.711331497</v>
      </c>
      <c r="BS4" s="63">
        <v>1400631.27820232</v>
      </c>
      <c r="BT4" s="62">
        <f>(BQ4*1000+BR4)/BS4*100</f>
        <v>87.600693374938558</v>
      </c>
      <c r="BV4" s="52">
        <v>0</v>
      </c>
      <c r="BW4" s="52">
        <v>700</v>
      </c>
      <c r="BX4" s="52">
        <v>2380.8855404655601</v>
      </c>
      <c r="BY4" s="66">
        <v>733.72440315911899</v>
      </c>
      <c r="BZ4" s="53">
        <v>178.8</v>
      </c>
      <c r="CA4" s="55">
        <v>12.811254603174602</v>
      </c>
      <c r="CB4" s="52">
        <v>1.2</v>
      </c>
      <c r="CC4" s="53">
        <v>1000</v>
      </c>
      <c r="CD4" s="63">
        <v>269004.106255666</v>
      </c>
      <c r="CE4" s="63">
        <v>1442673.4632099101</v>
      </c>
      <c r="CF4" s="62">
        <f>(CC4*1000+CD4)/CE4*100</f>
        <v>87.961977440977222</v>
      </c>
    </row>
    <row r="5" spans="2:84" x14ac:dyDescent="0.25">
      <c r="B5" s="52">
        <v>0</v>
      </c>
      <c r="C5" s="52">
        <v>100</v>
      </c>
      <c r="D5" s="52">
        <v>2051</v>
      </c>
      <c r="E5" s="52">
        <v>481.43704047326298</v>
      </c>
      <c r="F5" s="53">
        <v>344.8</v>
      </c>
      <c r="G5" s="55">
        <v>13.878859153439153</v>
      </c>
      <c r="H5" s="52">
        <v>1.3</v>
      </c>
      <c r="I5" s="53">
        <v>1000</v>
      </c>
      <c r="J5" s="63">
        <v>71141.268232773393</v>
      </c>
      <c r="K5" s="63">
        <v>1300991.4033210401</v>
      </c>
      <c r="L5" s="62">
        <f>(I5*1000+J5)/K5*100</f>
        <v>82.332693782485535</v>
      </c>
      <c r="N5" s="52">
        <v>0</v>
      </c>
      <c r="O5" s="52">
        <v>200</v>
      </c>
      <c r="P5" s="52">
        <v>2107.3025162171798</v>
      </c>
      <c r="Q5" s="52">
        <v>481.43704047326298</v>
      </c>
      <c r="R5" s="53">
        <v>344.78427137838497</v>
      </c>
      <c r="S5" s="55">
        <v>13.878859153439153</v>
      </c>
      <c r="T5" s="52">
        <v>1.3</v>
      </c>
      <c r="U5" s="53">
        <v>1000</v>
      </c>
      <c r="V5" s="63">
        <v>71141.268232773393</v>
      </c>
      <c r="W5" s="63">
        <v>1342653.8134924399</v>
      </c>
      <c r="X5" s="62">
        <f>(U5*1000+V5)/W5*100</f>
        <v>79.777918735923265</v>
      </c>
      <c r="Z5" s="52">
        <v>0</v>
      </c>
      <c r="AA5" s="52">
        <v>300</v>
      </c>
      <c r="AB5" s="52">
        <v>2163.27549577842</v>
      </c>
      <c r="AC5" s="52">
        <v>561.12598578763595</v>
      </c>
      <c r="AD5" s="53">
        <v>344.78427467864498</v>
      </c>
      <c r="AE5" s="55">
        <v>13.878859153439153</v>
      </c>
      <c r="AF5" s="52">
        <v>1.3</v>
      </c>
      <c r="AG5" s="53">
        <v>1000</v>
      </c>
      <c r="AH5" s="63">
        <v>113637.558265236</v>
      </c>
      <c r="AI5" s="63">
        <v>1385150.201688</v>
      </c>
      <c r="AJ5" s="62">
        <f t="shared" ref="AJ5:AJ7" si="0">(AG5*1000+AH5)/AI5*100</f>
        <v>80.398324810414948</v>
      </c>
      <c r="AL5" s="52">
        <v>0</v>
      </c>
      <c r="AM5" s="52">
        <v>400</v>
      </c>
      <c r="AN5" s="52">
        <v>2218.7357156466101</v>
      </c>
      <c r="AO5" s="52">
        <v>641.00885179990803</v>
      </c>
      <c r="AP5" s="53">
        <v>344.78427466347603</v>
      </c>
      <c r="AQ5" s="55">
        <v>13.878859153439153</v>
      </c>
      <c r="AR5" s="52">
        <v>1.3</v>
      </c>
      <c r="AS5" s="53">
        <v>1000</v>
      </c>
      <c r="AT5" s="63">
        <v>156947.96410043101</v>
      </c>
      <c r="AU5" s="63">
        <v>1428460.50952429</v>
      </c>
      <c r="AV5" s="62">
        <f>(AS5*1000+AT5)/AU5*100</f>
        <v>80.992646026015862</v>
      </c>
      <c r="AX5" s="52">
        <v>0</v>
      </c>
      <c r="AY5" s="52">
        <v>500</v>
      </c>
      <c r="AZ5" s="52">
        <v>2273.5933327080602</v>
      </c>
      <c r="BA5" s="52">
        <v>721.08326167878795</v>
      </c>
      <c r="BB5" s="53">
        <v>344.78425183835299</v>
      </c>
      <c r="BC5" s="55">
        <v>13.878859153439153</v>
      </c>
      <c r="BD5" s="52">
        <v>1.3</v>
      </c>
      <c r="BE5" s="53">
        <v>1000</v>
      </c>
      <c r="BF5" s="63">
        <v>201042.335729182</v>
      </c>
      <c r="BG5" s="63">
        <v>1472554.8694515701</v>
      </c>
      <c r="BH5" s="62">
        <f>(BE5*1000+BF5)/BG5*100</f>
        <v>81.561805311641209</v>
      </c>
      <c r="BJ5" s="52">
        <v>0</v>
      </c>
      <c r="BK5" s="52">
        <v>600</v>
      </c>
      <c r="BL5" s="52">
        <v>2327.7049729032101</v>
      </c>
      <c r="BM5" s="52">
        <v>801.33741745463897</v>
      </c>
      <c r="BN5" s="53">
        <v>344.78427467663101</v>
      </c>
      <c r="BO5" s="55">
        <v>13.878859153439153</v>
      </c>
      <c r="BP5" s="52">
        <v>1.3</v>
      </c>
      <c r="BQ5" s="53">
        <v>1000</v>
      </c>
      <c r="BR5" s="63">
        <v>245883.65237451001</v>
      </c>
      <c r="BS5" s="63">
        <v>1517396.19779747</v>
      </c>
      <c r="BT5" s="62">
        <f>(BQ5*1000+BR5)/BS5*100</f>
        <v>82.106680785343627</v>
      </c>
      <c r="BV5" s="52">
        <v>0</v>
      </c>
      <c r="BW5" s="52">
        <v>700</v>
      </c>
      <c r="BX5" s="52">
        <v>2380.9051394758699</v>
      </c>
      <c r="BY5" s="52">
        <v>881.74955802080694</v>
      </c>
      <c r="BZ5" s="53">
        <v>344.78427291248403</v>
      </c>
      <c r="CA5" s="55">
        <v>13.878859153439153</v>
      </c>
      <c r="CB5" s="52">
        <v>1.3</v>
      </c>
      <c r="CC5" s="53">
        <v>1000</v>
      </c>
      <c r="CD5" s="63">
        <v>291429.86423561</v>
      </c>
      <c r="CE5" s="63">
        <v>1562943.2644924801</v>
      </c>
      <c r="CF5" s="62">
        <f t="shared" ref="CF5:CF7" si="1">(CC5*1000+CD5)/CE5*100</f>
        <v>82.628070613616543</v>
      </c>
    </row>
    <row r="6" spans="2:84" x14ac:dyDescent="0.25">
      <c r="B6" s="52">
        <v>0</v>
      </c>
      <c r="C6" s="52">
        <v>100</v>
      </c>
      <c r="D6" s="52">
        <v>2051</v>
      </c>
      <c r="E6" s="52">
        <v>749.74792164392204</v>
      </c>
      <c r="F6" s="53">
        <v>696.6</v>
      </c>
      <c r="G6" s="55">
        <v>17.081672804232802</v>
      </c>
      <c r="H6" s="52">
        <v>1.6</v>
      </c>
      <c r="I6" s="53">
        <v>1000</v>
      </c>
      <c r="J6" s="63">
        <v>36281.998640887497</v>
      </c>
      <c r="K6" s="63">
        <v>1601234.6439555001</v>
      </c>
      <c r="L6" s="62">
        <f>(I6*1000+J6)/K6*100</f>
        <v>64.717685353158444</v>
      </c>
      <c r="N6" s="52">
        <v>0</v>
      </c>
      <c r="O6" s="52">
        <v>200</v>
      </c>
      <c r="P6" s="52">
        <v>2107.3025162171798</v>
      </c>
      <c r="Q6" s="52">
        <v>831.43641854376301</v>
      </c>
      <c r="R6" s="53">
        <v>696.63208313783605</v>
      </c>
      <c r="S6" s="55">
        <v>17.081672804232802</v>
      </c>
      <c r="T6" s="52">
        <v>1.6</v>
      </c>
      <c r="U6" s="53">
        <v>1000</v>
      </c>
      <c r="V6" s="63">
        <v>92743.721686370598</v>
      </c>
      <c r="W6" s="63">
        <v>1652511.9184983801</v>
      </c>
      <c r="X6" s="62">
        <f t="shared" ref="X6:X7" si="2">(U6*1000+V6)/W6*100</f>
        <v>66.126223324267158</v>
      </c>
      <c r="Z6" s="52">
        <v>0</v>
      </c>
      <c r="AA6" s="52">
        <v>300</v>
      </c>
      <c r="AB6" s="52">
        <v>2163.27549577842</v>
      </c>
      <c r="AC6" s="52">
        <v>898.76809725441899</v>
      </c>
      <c r="AD6" s="53">
        <v>696.63208368220205</v>
      </c>
      <c r="AE6" s="55">
        <v>17.081672804232802</v>
      </c>
      <c r="AF6" s="52">
        <v>1.6</v>
      </c>
      <c r="AG6" s="53">
        <v>1000</v>
      </c>
      <c r="AH6" s="63">
        <v>139862.86982396099</v>
      </c>
      <c r="AI6" s="63">
        <v>1704815.51575315</v>
      </c>
      <c r="AJ6" s="62">
        <f t="shared" si="0"/>
        <v>66.861361789072802</v>
      </c>
      <c r="AL6" s="52">
        <v>0</v>
      </c>
      <c r="AM6" s="52">
        <v>400</v>
      </c>
      <c r="AN6" s="52">
        <v>2218.7357156466101</v>
      </c>
      <c r="AO6" s="52">
        <v>981.652913029827</v>
      </c>
      <c r="AP6" s="53">
        <v>696.63208367780601</v>
      </c>
      <c r="AQ6" s="55">
        <v>17.081672804232802</v>
      </c>
      <c r="AR6" s="52">
        <v>1.6</v>
      </c>
      <c r="AS6" s="53">
        <v>1000</v>
      </c>
      <c r="AT6" s="63">
        <v>198552.78752374201</v>
      </c>
      <c r="AU6" s="63">
        <v>1758121.1106912901</v>
      </c>
      <c r="AV6" s="62">
        <f t="shared" ref="AV6:AV7" si="3">(AS6*1000+AT6)/AU6*100</f>
        <v>68.172367662002159</v>
      </c>
      <c r="AX6" s="52">
        <v>0</v>
      </c>
      <c r="AY6" s="52">
        <v>500</v>
      </c>
      <c r="AZ6" s="52">
        <v>2273.5933327080602</v>
      </c>
      <c r="BA6" s="52">
        <v>1049.91710072142</v>
      </c>
      <c r="BB6" s="53">
        <v>696.63201286972799</v>
      </c>
      <c r="BC6" s="55">
        <v>17.081672804232802</v>
      </c>
      <c r="BD6" s="52">
        <v>1.6</v>
      </c>
      <c r="BE6" s="53">
        <v>1000</v>
      </c>
      <c r="BF6" s="63">
        <v>247438.94941464701</v>
      </c>
      <c r="BG6" s="63">
        <v>1812391.58096244</v>
      </c>
      <c r="BH6" s="62">
        <f t="shared" ref="BH6:BH7" si="4">(BE6*1000+BF6)/BG6*100</f>
        <v>68.82833503078929</v>
      </c>
      <c r="BJ6" s="52">
        <v>0</v>
      </c>
      <c r="BK6" s="52">
        <v>600</v>
      </c>
      <c r="BL6" s="52">
        <v>2327.7049729032101</v>
      </c>
      <c r="BM6" s="52">
        <v>1126.1869801052501</v>
      </c>
      <c r="BN6" s="53">
        <v>696.63208366051902</v>
      </c>
      <c r="BO6" s="55">
        <v>17.081672804232802</v>
      </c>
      <c r="BP6" s="52">
        <v>1.6</v>
      </c>
      <c r="BQ6" s="53">
        <v>1000</v>
      </c>
      <c r="BR6" s="63">
        <v>302628.759266618</v>
      </c>
      <c r="BS6" s="63">
        <v>1867581.40519612</v>
      </c>
      <c r="BT6" s="62">
        <f>(BQ6*1000+BR6)/BS6*100</f>
        <v>69.749503590170164</v>
      </c>
      <c r="BV6" s="52">
        <v>0</v>
      </c>
      <c r="BW6" s="52">
        <v>700</v>
      </c>
      <c r="BX6" s="52">
        <v>2380.9051394758699</v>
      </c>
      <c r="BY6" s="52">
        <v>1202.82443003052</v>
      </c>
      <c r="BZ6" s="53">
        <v>696.63208205317198</v>
      </c>
      <c r="CA6" s="55">
        <v>17.081672804232802</v>
      </c>
      <c r="CB6" s="52">
        <v>1.6</v>
      </c>
      <c r="CC6" s="53">
        <v>1000</v>
      </c>
      <c r="CD6" s="63">
        <v>358686.14027470897</v>
      </c>
      <c r="CE6" s="63">
        <v>1923639.8379040901</v>
      </c>
      <c r="CF6" s="62">
        <f t="shared" si="1"/>
        <v>70.631004489648717</v>
      </c>
    </row>
    <row r="7" spans="2:84" x14ac:dyDescent="0.25">
      <c r="B7" s="52">
        <v>0</v>
      </c>
      <c r="C7" s="52">
        <v>100</v>
      </c>
      <c r="D7" s="52">
        <v>2051</v>
      </c>
      <c r="E7" s="52">
        <v>909.44551088026697</v>
      </c>
      <c r="F7" s="53">
        <v>857.8</v>
      </c>
      <c r="G7" s="55">
        <v>19.216881904761902</v>
      </c>
      <c r="H7" s="52">
        <v>1.8</v>
      </c>
      <c r="I7" s="53">
        <v>1000</v>
      </c>
      <c r="J7" s="63">
        <v>40816.717473477103</v>
      </c>
      <c r="K7" s="63">
        <v>1801647.36208861</v>
      </c>
      <c r="L7" s="62">
        <f>(I7*1000+J7)/K7*100</f>
        <v>57.770279543877066</v>
      </c>
      <c r="N7" s="52">
        <v>0</v>
      </c>
      <c r="O7" s="52">
        <v>200</v>
      </c>
      <c r="P7" s="52">
        <v>2107.3025162171798</v>
      </c>
      <c r="Q7" s="52">
        <v>981.79994735641003</v>
      </c>
      <c r="R7" s="53">
        <v>857.8</v>
      </c>
      <c r="S7" s="55">
        <v>19.216881904761902</v>
      </c>
      <c r="T7" s="52">
        <v>1.8</v>
      </c>
      <c r="U7" s="53">
        <v>1000</v>
      </c>
      <c r="V7" s="63">
        <v>98502.900182232494</v>
      </c>
      <c r="W7" s="63">
        <v>1859052.30439721</v>
      </c>
      <c r="X7" s="62">
        <f t="shared" si="2"/>
        <v>59.089402572695093</v>
      </c>
      <c r="Z7" s="52">
        <v>0</v>
      </c>
      <c r="AA7" s="52">
        <v>300</v>
      </c>
      <c r="AB7" s="52">
        <v>2163.27549577842</v>
      </c>
      <c r="AC7" s="52">
        <v>1054.80928750271</v>
      </c>
      <c r="AD7" s="53">
        <v>857.8</v>
      </c>
      <c r="AE7" s="55">
        <v>19.216881904761902</v>
      </c>
      <c r="AF7" s="52">
        <v>1.8</v>
      </c>
      <c r="AG7" s="53">
        <v>1000</v>
      </c>
      <c r="AH7" s="63">
        <v>157343.68161849101</v>
      </c>
      <c r="AI7" s="63">
        <v>1917892.4495012099</v>
      </c>
      <c r="AJ7" s="62">
        <f t="shared" si="0"/>
        <v>60.344555917068433</v>
      </c>
      <c r="AL7" s="52">
        <v>0</v>
      </c>
      <c r="AM7" s="52">
        <v>400</v>
      </c>
      <c r="AN7" s="52">
        <v>2218.7357156466101</v>
      </c>
      <c r="AO7" s="52">
        <v>1128.43774794356</v>
      </c>
      <c r="AP7" s="53">
        <v>857.8</v>
      </c>
      <c r="AQ7" s="55">
        <v>19.216881904761902</v>
      </c>
      <c r="AR7" s="52">
        <v>1.8</v>
      </c>
      <c r="AS7" s="53">
        <v>1000</v>
      </c>
      <c r="AT7" s="63">
        <v>217311.69580791</v>
      </c>
      <c r="AU7" s="63">
        <v>1977860.4636111299</v>
      </c>
      <c r="AV7" s="62">
        <f t="shared" si="3"/>
        <v>61.546894647227624</v>
      </c>
      <c r="AX7" s="52">
        <v>0</v>
      </c>
      <c r="AY7" s="52">
        <v>500</v>
      </c>
      <c r="AZ7" s="52">
        <v>2273.5933327080602</v>
      </c>
      <c r="BA7" s="52">
        <v>1202.62135946546</v>
      </c>
      <c r="BB7" s="53">
        <v>857.8</v>
      </c>
      <c r="BC7" s="55">
        <v>19.216881904761902</v>
      </c>
      <c r="BD7" s="52">
        <v>1.8</v>
      </c>
      <c r="BE7" s="53">
        <v>1000</v>
      </c>
      <c r="BF7" s="63">
        <v>278365.19675104</v>
      </c>
      <c r="BG7" s="63">
        <v>2038913.9484204999</v>
      </c>
      <c r="BH7" s="62">
        <f t="shared" si="4"/>
        <v>62.6983398559493</v>
      </c>
      <c r="BJ7" s="52">
        <v>0</v>
      </c>
      <c r="BK7" s="52">
        <v>600</v>
      </c>
      <c r="BL7" s="52">
        <v>2327.7049729032101</v>
      </c>
      <c r="BM7" s="52">
        <v>1277.26807019845</v>
      </c>
      <c r="BN7" s="53">
        <v>857.8</v>
      </c>
      <c r="BO7" s="55">
        <v>19.216881904761902</v>
      </c>
      <c r="BP7" s="52">
        <v>1.8</v>
      </c>
      <c r="BQ7" s="53">
        <v>1000</v>
      </c>
      <c r="BR7" s="63">
        <v>340452.92511571199</v>
      </c>
      <c r="BS7" s="63">
        <v>2101001.6929973802</v>
      </c>
      <c r="BT7" s="62">
        <f>(BQ7*1000+BR7)/BS7*100</f>
        <v>63.800658970596245</v>
      </c>
      <c r="BV7" s="52">
        <v>0</v>
      </c>
      <c r="BW7" s="52">
        <v>700</v>
      </c>
      <c r="BX7" s="52">
        <v>2380.9051394758699</v>
      </c>
      <c r="BY7" s="52">
        <v>1352.2663599674299</v>
      </c>
      <c r="BZ7" s="53">
        <v>857.8</v>
      </c>
      <c r="CA7" s="55">
        <v>19.216881904761902</v>
      </c>
      <c r="CB7" s="52">
        <v>1.8</v>
      </c>
      <c r="CC7" s="53">
        <v>1000</v>
      </c>
      <c r="CD7" s="63">
        <v>403516.65833386499</v>
      </c>
      <c r="CE7" s="63">
        <v>2164066.61000467</v>
      </c>
      <c r="CF7" s="62">
        <f t="shared" si="1"/>
        <v>64.855520243475141</v>
      </c>
    </row>
    <row r="8" spans="2:84" x14ac:dyDescent="0.25">
      <c r="S8" s="48"/>
      <c r="T8" s="48"/>
    </row>
    <row r="10" spans="2:84" x14ac:dyDescent="0.25">
      <c r="B10" s="57" t="s">
        <v>99</v>
      </c>
      <c r="C10" s="57" t="s">
        <v>97</v>
      </c>
      <c r="D10" s="57" t="s">
        <v>97</v>
      </c>
      <c r="E10" s="57" t="s">
        <v>97</v>
      </c>
      <c r="F10" s="57" t="s">
        <v>97</v>
      </c>
      <c r="G10" s="101" t="s">
        <v>96</v>
      </c>
      <c r="H10" s="101"/>
      <c r="I10" s="57" t="s">
        <v>89</v>
      </c>
      <c r="J10" s="57" t="s">
        <v>106</v>
      </c>
      <c r="K10" s="57" t="s">
        <v>106</v>
      </c>
      <c r="L10" s="58"/>
      <c r="N10" s="57" t="s">
        <v>99</v>
      </c>
      <c r="O10" s="57" t="s">
        <v>97</v>
      </c>
      <c r="P10" s="57" t="s">
        <v>97</v>
      </c>
      <c r="Q10" s="57" t="s">
        <v>97</v>
      </c>
      <c r="R10" s="57" t="s">
        <v>97</v>
      </c>
      <c r="S10" s="101" t="s">
        <v>96</v>
      </c>
      <c r="T10" s="101"/>
      <c r="U10" s="57" t="s">
        <v>89</v>
      </c>
      <c r="V10" s="57" t="s">
        <v>106</v>
      </c>
      <c r="W10" s="57" t="s">
        <v>106</v>
      </c>
      <c r="X10" s="58"/>
      <c r="Z10" s="57" t="s">
        <v>99</v>
      </c>
      <c r="AA10" s="57" t="s">
        <v>97</v>
      </c>
      <c r="AB10" s="57" t="s">
        <v>97</v>
      </c>
      <c r="AC10" s="57" t="s">
        <v>97</v>
      </c>
      <c r="AD10" s="57" t="s">
        <v>97</v>
      </c>
      <c r="AE10" s="101" t="s">
        <v>96</v>
      </c>
      <c r="AF10" s="101"/>
      <c r="AG10" s="57" t="s">
        <v>89</v>
      </c>
      <c r="AH10" s="57" t="s">
        <v>106</v>
      </c>
      <c r="AI10" s="57" t="s">
        <v>106</v>
      </c>
      <c r="AJ10" s="58"/>
      <c r="AL10" s="57" t="s">
        <v>99</v>
      </c>
      <c r="AM10" s="57" t="s">
        <v>97</v>
      </c>
      <c r="AN10" s="57" t="s">
        <v>97</v>
      </c>
      <c r="AO10" s="57" t="s">
        <v>97</v>
      </c>
      <c r="AP10" s="57" t="s">
        <v>97</v>
      </c>
      <c r="AQ10" s="101" t="s">
        <v>96</v>
      </c>
      <c r="AR10" s="101"/>
      <c r="AS10" s="57" t="s">
        <v>89</v>
      </c>
      <c r="AT10" s="57" t="s">
        <v>106</v>
      </c>
      <c r="AU10" s="57" t="s">
        <v>106</v>
      </c>
      <c r="AV10" s="58"/>
      <c r="AX10" s="57" t="s">
        <v>99</v>
      </c>
      <c r="AY10" s="57" t="s">
        <v>97</v>
      </c>
      <c r="AZ10" s="57" t="s">
        <v>97</v>
      </c>
      <c r="BA10" s="57" t="s">
        <v>97</v>
      </c>
      <c r="BB10" s="57" t="s">
        <v>97</v>
      </c>
      <c r="BC10" s="101" t="s">
        <v>96</v>
      </c>
      <c r="BD10" s="101"/>
      <c r="BE10" s="57" t="s">
        <v>89</v>
      </c>
      <c r="BF10" s="57" t="s">
        <v>106</v>
      </c>
      <c r="BG10" s="57" t="s">
        <v>106</v>
      </c>
      <c r="BH10" s="58"/>
      <c r="BJ10" s="57" t="s">
        <v>99</v>
      </c>
      <c r="BK10" s="57" t="s">
        <v>97</v>
      </c>
      <c r="BL10" s="57" t="s">
        <v>97</v>
      </c>
      <c r="BM10" s="57" t="s">
        <v>97</v>
      </c>
      <c r="BN10" s="57" t="s">
        <v>97</v>
      </c>
      <c r="BO10" s="101" t="s">
        <v>96</v>
      </c>
      <c r="BP10" s="101"/>
      <c r="BQ10" s="57" t="s">
        <v>89</v>
      </c>
      <c r="BR10" s="57" t="s">
        <v>106</v>
      </c>
      <c r="BS10" s="57" t="s">
        <v>106</v>
      </c>
      <c r="BT10" s="58"/>
      <c r="BV10" s="57" t="s">
        <v>99</v>
      </c>
      <c r="BW10" s="57" t="s">
        <v>97</v>
      </c>
      <c r="BX10" s="57" t="s">
        <v>97</v>
      </c>
      <c r="BY10" s="57" t="s">
        <v>97</v>
      </c>
      <c r="BZ10" s="57" t="s">
        <v>97</v>
      </c>
      <c r="CA10" s="101" t="s">
        <v>96</v>
      </c>
      <c r="CB10" s="101"/>
      <c r="CC10" s="57" t="s">
        <v>89</v>
      </c>
      <c r="CD10" s="57" t="s">
        <v>106</v>
      </c>
      <c r="CE10" s="57" t="s">
        <v>106</v>
      </c>
      <c r="CF10" s="58"/>
    </row>
    <row r="11" spans="2:84" x14ac:dyDescent="0.25">
      <c r="B11" s="52" t="s">
        <v>98</v>
      </c>
      <c r="C11" s="52" t="s">
        <v>103</v>
      </c>
      <c r="D11" s="52" t="s">
        <v>93</v>
      </c>
      <c r="E11" s="53" t="s">
        <v>107</v>
      </c>
      <c r="F11" s="52" t="s">
        <v>101</v>
      </c>
      <c r="G11" s="53" t="s">
        <v>94</v>
      </c>
      <c r="H11" s="53" t="s">
        <v>95</v>
      </c>
      <c r="I11" s="53" t="s">
        <v>100</v>
      </c>
      <c r="J11" s="53" t="s">
        <v>104</v>
      </c>
      <c r="K11" s="53" t="s">
        <v>105</v>
      </c>
      <c r="L11" s="53" t="s">
        <v>92</v>
      </c>
      <c r="N11" s="52" t="s">
        <v>98</v>
      </c>
      <c r="O11" s="52" t="s">
        <v>103</v>
      </c>
      <c r="P11" s="52" t="s">
        <v>93</v>
      </c>
      <c r="Q11" s="53" t="s">
        <v>107</v>
      </c>
      <c r="R11" s="52" t="s">
        <v>101</v>
      </c>
      <c r="S11" s="53" t="s">
        <v>94</v>
      </c>
      <c r="T11" s="53" t="s">
        <v>95</v>
      </c>
      <c r="U11" s="53" t="s">
        <v>100</v>
      </c>
      <c r="V11" s="53" t="s">
        <v>104</v>
      </c>
      <c r="W11" s="53" t="s">
        <v>105</v>
      </c>
      <c r="X11" s="53" t="s">
        <v>92</v>
      </c>
      <c r="Z11" s="52" t="s">
        <v>98</v>
      </c>
      <c r="AA11" s="52" t="s">
        <v>103</v>
      </c>
      <c r="AB11" s="52" t="s">
        <v>93</v>
      </c>
      <c r="AC11" s="53" t="s">
        <v>107</v>
      </c>
      <c r="AD11" s="52" t="s">
        <v>101</v>
      </c>
      <c r="AE11" s="53" t="s">
        <v>94</v>
      </c>
      <c r="AF11" s="53" t="s">
        <v>95</v>
      </c>
      <c r="AG11" s="53" t="s">
        <v>100</v>
      </c>
      <c r="AH11" s="53" t="s">
        <v>104</v>
      </c>
      <c r="AI11" s="53" t="s">
        <v>105</v>
      </c>
      <c r="AJ11" s="53" t="s">
        <v>92</v>
      </c>
      <c r="AL11" s="52" t="s">
        <v>98</v>
      </c>
      <c r="AM11" s="52" t="s">
        <v>103</v>
      </c>
      <c r="AN11" s="52" t="s">
        <v>93</v>
      </c>
      <c r="AO11" s="53" t="s">
        <v>107</v>
      </c>
      <c r="AP11" s="52" t="s">
        <v>101</v>
      </c>
      <c r="AQ11" s="53" t="s">
        <v>94</v>
      </c>
      <c r="AR11" s="53" t="s">
        <v>95</v>
      </c>
      <c r="AS11" s="53" t="s">
        <v>100</v>
      </c>
      <c r="AT11" s="53" t="s">
        <v>104</v>
      </c>
      <c r="AU11" s="53" t="s">
        <v>105</v>
      </c>
      <c r="AV11" s="53" t="s">
        <v>92</v>
      </c>
      <c r="AX11" s="52" t="s">
        <v>98</v>
      </c>
      <c r="AY11" s="52" t="s">
        <v>103</v>
      </c>
      <c r="AZ11" s="52" t="s">
        <v>93</v>
      </c>
      <c r="BA11" s="53" t="s">
        <v>107</v>
      </c>
      <c r="BB11" s="52" t="s">
        <v>101</v>
      </c>
      <c r="BC11" s="53" t="s">
        <v>94</v>
      </c>
      <c r="BD11" s="53" t="s">
        <v>95</v>
      </c>
      <c r="BE11" s="53" t="s">
        <v>100</v>
      </c>
      <c r="BF11" s="53" t="s">
        <v>104</v>
      </c>
      <c r="BG11" s="53" t="s">
        <v>105</v>
      </c>
      <c r="BH11" s="53" t="s">
        <v>92</v>
      </c>
      <c r="BJ11" s="52" t="s">
        <v>98</v>
      </c>
      <c r="BK11" s="52" t="s">
        <v>103</v>
      </c>
      <c r="BL11" s="52" t="s">
        <v>93</v>
      </c>
      <c r="BM11" s="53" t="s">
        <v>107</v>
      </c>
      <c r="BN11" s="52" t="s">
        <v>101</v>
      </c>
      <c r="BO11" s="53" t="s">
        <v>94</v>
      </c>
      <c r="BP11" s="53" t="s">
        <v>95</v>
      </c>
      <c r="BQ11" s="53" t="s">
        <v>100</v>
      </c>
      <c r="BR11" s="53" t="s">
        <v>104</v>
      </c>
      <c r="BS11" s="53" t="s">
        <v>105</v>
      </c>
      <c r="BT11" s="53" t="s">
        <v>92</v>
      </c>
      <c r="BV11" s="52" t="s">
        <v>98</v>
      </c>
      <c r="BW11" s="52" t="s">
        <v>103</v>
      </c>
      <c r="BX11" s="52" t="s">
        <v>93</v>
      </c>
      <c r="BY11" s="53" t="s">
        <v>107</v>
      </c>
      <c r="BZ11" s="52" t="s">
        <v>101</v>
      </c>
      <c r="CA11" s="53" t="s">
        <v>94</v>
      </c>
      <c r="CB11" s="53" t="s">
        <v>95</v>
      </c>
      <c r="CC11" s="53" t="s">
        <v>100</v>
      </c>
      <c r="CD11" s="53" t="s">
        <v>104</v>
      </c>
      <c r="CE11" s="53" t="s">
        <v>105</v>
      </c>
      <c r="CF11" s="53" t="s">
        <v>92</v>
      </c>
    </row>
    <row r="12" spans="2:84" x14ac:dyDescent="0.25">
      <c r="B12" s="52">
        <v>10</v>
      </c>
      <c r="C12" s="52">
        <v>100</v>
      </c>
      <c r="D12" s="52">
        <v>1931.67614644686</v>
      </c>
      <c r="E12" s="66">
        <v>229.11913859991699</v>
      </c>
      <c r="F12" s="53">
        <v>168.682872584823</v>
      </c>
      <c r="G12" s="55">
        <v>14.090751276190476</v>
      </c>
      <c r="H12" s="52">
        <v>1.2</v>
      </c>
      <c r="I12" s="53">
        <v>1000</v>
      </c>
      <c r="J12" s="63">
        <v>29927.020305005499</v>
      </c>
      <c r="K12" s="63">
        <v>1203542.7327686199</v>
      </c>
      <c r="L12" s="62">
        <f>(I12*1000+J12)/K12*100</f>
        <v>85.574611707867632</v>
      </c>
      <c r="N12" s="52">
        <v>10</v>
      </c>
      <c r="O12" s="52">
        <v>200</v>
      </c>
      <c r="P12" s="52">
        <v>1992</v>
      </c>
      <c r="Q12" s="66">
        <v>313.05558578557799</v>
      </c>
      <c r="R12" s="53">
        <f>F12</f>
        <v>168.682872584823</v>
      </c>
      <c r="S12" s="55">
        <v>14.090751276190476</v>
      </c>
      <c r="T12" s="52">
        <v>1.2</v>
      </c>
      <c r="U12" s="53">
        <v>1000</v>
      </c>
      <c r="V12" s="63">
        <v>72222.816442090698</v>
      </c>
      <c r="W12" s="63">
        <v>1245841.8584465</v>
      </c>
      <c r="X12" s="62">
        <f>(U12*1000+V12)/W12*100</f>
        <v>86.064118746106104</v>
      </c>
      <c r="Z12" s="52">
        <v>10</v>
      </c>
      <c r="AA12" s="52">
        <v>300</v>
      </c>
      <c r="AB12" s="52">
        <v>2052.6824389754402</v>
      </c>
      <c r="AC12" s="66">
        <v>396.98505408618797</v>
      </c>
      <c r="AD12" s="53">
        <f>F12</f>
        <v>168.682872584823</v>
      </c>
      <c r="AE12" s="55">
        <v>14.090751276190476</v>
      </c>
      <c r="AF12" s="52">
        <v>1.2</v>
      </c>
      <c r="AG12" s="53">
        <v>1000</v>
      </c>
      <c r="AH12" s="63">
        <v>115365.170110035</v>
      </c>
      <c r="AI12" s="63">
        <v>1288981.05772586</v>
      </c>
      <c r="AJ12" s="62">
        <f>(AG12*1000+AH12)/AI12*100</f>
        <v>86.530765012006128</v>
      </c>
      <c r="AL12" s="52">
        <f>Z12</f>
        <v>10</v>
      </c>
      <c r="AM12" s="52">
        <v>400</v>
      </c>
      <c r="AN12" s="52">
        <v>2112.8182698416199</v>
      </c>
      <c r="AO12" s="66">
        <v>480.90204782701198</v>
      </c>
      <c r="AP12" s="53">
        <f>AD12</f>
        <v>168.682872584823</v>
      </c>
      <c r="AQ12" s="55">
        <v>14.090751276190476</v>
      </c>
      <c r="AR12" s="52">
        <v>1.2</v>
      </c>
      <c r="AS12" s="53">
        <v>1000</v>
      </c>
      <c r="AT12" s="63">
        <v>159334.01644030999</v>
      </c>
      <c r="AU12" s="63">
        <v>1332949.74473624</v>
      </c>
      <c r="AV12" s="62">
        <f>(AS12*1000+AT12)/AU12*100</f>
        <v>86.975073217761519</v>
      </c>
      <c r="AX12" s="52">
        <v>10</v>
      </c>
      <c r="AY12" s="52">
        <v>500</v>
      </c>
      <c r="AZ12" s="52">
        <v>2172.4732981765801</v>
      </c>
      <c r="BA12" s="66">
        <v>564.80276186798699</v>
      </c>
      <c r="BB12" s="53">
        <f>AP12</f>
        <v>168.682872584823</v>
      </c>
      <c r="BC12" s="55">
        <v>14.090751276190476</v>
      </c>
      <c r="BD12" s="52">
        <v>1.2</v>
      </c>
      <c r="BE12" s="53">
        <v>1000</v>
      </c>
      <c r="BF12" s="63">
        <v>204098.747058446</v>
      </c>
      <c r="BG12" s="63">
        <v>1377714.4701860701</v>
      </c>
      <c r="BH12" s="62">
        <f>(BE12*1000+BF12)/BG12*100</f>
        <v>87.398279768072982</v>
      </c>
      <c r="BJ12" s="52">
        <v>10</v>
      </c>
      <c r="BK12" s="52">
        <v>600</v>
      </c>
      <c r="BL12" s="52">
        <v>2231.46918336009</v>
      </c>
      <c r="BM12" s="66">
        <v>648.68277969884298</v>
      </c>
      <c r="BN12" s="53">
        <f>BB12</f>
        <v>168.682872584823</v>
      </c>
      <c r="BO12" s="55">
        <v>14.090751276190476</v>
      </c>
      <c r="BP12" s="52">
        <v>1.2</v>
      </c>
      <c r="BQ12" s="53">
        <v>1000</v>
      </c>
      <c r="BR12" s="63">
        <v>249621.778367091</v>
      </c>
      <c r="BS12" s="63">
        <v>1423237.5045773601</v>
      </c>
      <c r="BT12" s="62">
        <f>(BQ12*1000+BR12)/BS12*100</f>
        <v>87.801352504280345</v>
      </c>
      <c r="BV12" s="52">
        <v>10</v>
      </c>
      <c r="BW12" s="52">
        <v>700</v>
      </c>
      <c r="BX12" s="52">
        <v>1469476.1471935799</v>
      </c>
      <c r="BY12" s="66">
        <v>732.53595918664803</v>
      </c>
      <c r="BZ12" s="53">
        <f>BN12</f>
        <v>168.682872584823</v>
      </c>
      <c r="CA12" s="55">
        <v>14.090751276190476</v>
      </c>
      <c r="CB12" s="52">
        <v>1.2</v>
      </c>
      <c r="CC12" s="53">
        <v>1000</v>
      </c>
      <c r="CD12" s="63">
        <v>295860.42128970003</v>
      </c>
      <c r="CE12" s="63">
        <v>1469476.1471935799</v>
      </c>
      <c r="CF12" s="62">
        <f>(CC12*1000+CD12)/CE12*100</f>
        <v>88.185196048574667</v>
      </c>
    </row>
    <row r="13" spans="2:84" x14ac:dyDescent="0.25">
      <c r="B13" s="52">
        <v>10</v>
      </c>
      <c r="C13" s="52">
        <v>100</v>
      </c>
      <c r="D13" s="52">
        <v>1931.67614644686</v>
      </c>
      <c r="E13" s="52">
        <v>380.53723941816202</v>
      </c>
      <c r="F13" s="53">
        <v>322.268166391612</v>
      </c>
      <c r="G13" s="55">
        <v>15.264980549206348</v>
      </c>
      <c r="H13" s="52">
        <v>1.3</v>
      </c>
      <c r="I13" s="53">
        <v>1000</v>
      </c>
      <c r="J13" s="63">
        <v>32422.496256485399</v>
      </c>
      <c r="K13" s="63">
        <v>1303838.99486336</v>
      </c>
      <c r="L13" s="62">
        <f t="shared" ref="L13:L15" si="5">(I13*1000+J13)/K13*100</f>
        <v>79.183281089447803</v>
      </c>
      <c r="N13" s="52">
        <v>10</v>
      </c>
      <c r="O13" s="52">
        <v>200</v>
      </c>
      <c r="P13" s="52">
        <v>1992</v>
      </c>
      <c r="Q13" s="52">
        <v>461.58514923235299</v>
      </c>
      <c r="R13" s="53">
        <v>322.3</v>
      </c>
      <c r="S13" s="55">
        <v>15.264980549206348</v>
      </c>
      <c r="T13" s="52">
        <v>1.3</v>
      </c>
      <c r="U13" s="53">
        <v>1000</v>
      </c>
      <c r="V13" s="63">
        <v>78245.143414256294</v>
      </c>
      <c r="W13" s="63">
        <v>1349662.0130978299</v>
      </c>
      <c r="X13" s="62">
        <f t="shared" ref="X13:X15" si="6">(U13*1000+V13)/W13*100</f>
        <v>79.890011940055999</v>
      </c>
      <c r="Z13" s="52">
        <v>10</v>
      </c>
      <c r="AA13" s="52">
        <v>300</v>
      </c>
      <c r="AB13" s="52">
        <v>2052.6824389754402</v>
      </c>
      <c r="AC13" s="52">
        <v>542.79976852331095</v>
      </c>
      <c r="AD13" s="53">
        <f t="shared" ref="AD13:AD15" si="7">F13</f>
        <v>322.268166391612</v>
      </c>
      <c r="AE13" s="55">
        <v>15.264980549206348</v>
      </c>
      <c r="AF13" s="52">
        <v>1.3</v>
      </c>
      <c r="AG13" s="53">
        <v>1000</v>
      </c>
      <c r="AH13" s="63">
        <v>124984.938624036</v>
      </c>
      <c r="AI13" s="63">
        <v>1396401.6270375799</v>
      </c>
      <c r="AJ13" s="62">
        <f>(AG13*1000+AH13)/AI13*100</f>
        <v>80.563135765650358</v>
      </c>
      <c r="AL13" s="52">
        <f t="shared" ref="AL13:AL15" si="8">Z13</f>
        <v>10</v>
      </c>
      <c r="AM13" s="52">
        <v>400</v>
      </c>
      <c r="AN13" s="52">
        <v>2112.8182698416199</v>
      </c>
      <c r="AO13" s="52">
        <v>624.19064226559397</v>
      </c>
      <c r="AP13" s="53">
        <f t="shared" ref="AP13:AP15" si="9">AD13</f>
        <v>322.268166391612</v>
      </c>
      <c r="AQ13" s="55">
        <v>15.264980549206348</v>
      </c>
      <c r="AR13" s="52">
        <v>1.3</v>
      </c>
      <c r="AS13" s="53">
        <v>1000</v>
      </c>
      <c r="AT13" s="63">
        <v>172620.143900617</v>
      </c>
      <c r="AU13" s="63">
        <v>1444036.6596583701</v>
      </c>
      <c r="AV13" s="62">
        <f>(AS13*1000+AT13)/AI13*100</f>
        <v>83.974418333233544</v>
      </c>
      <c r="AX13" s="52">
        <v>10</v>
      </c>
      <c r="AY13" s="52">
        <v>500</v>
      </c>
      <c r="AZ13" s="52">
        <v>2172.4732981765801</v>
      </c>
      <c r="BA13" s="52">
        <v>705.75761120000095</v>
      </c>
      <c r="BB13" s="53">
        <f t="shared" ref="BB13:BB15" si="10">AP13</f>
        <v>322.268166391612</v>
      </c>
      <c r="BC13" s="55">
        <v>15.264980549206348</v>
      </c>
      <c r="BD13" s="52">
        <v>1.3</v>
      </c>
      <c r="BE13" s="53">
        <v>1000</v>
      </c>
      <c r="BF13" s="63">
        <v>221117.59857860001</v>
      </c>
      <c r="BG13" s="63">
        <v>1492534.10873796</v>
      </c>
      <c r="BH13" s="62">
        <f t="shared" ref="BH13:BH15" si="11">(BE13*1000+BF13)/BG13*100</f>
        <v>81.815054773598348</v>
      </c>
      <c r="BJ13" s="52">
        <v>10</v>
      </c>
      <c r="BK13" s="52">
        <v>600</v>
      </c>
      <c r="BL13" s="52">
        <v>2231.46918336009</v>
      </c>
      <c r="BM13" s="52">
        <v>787.49064044885199</v>
      </c>
      <c r="BN13" s="53">
        <f t="shared" ref="BN13:BN15" si="12">BB13</f>
        <v>322.268166391612</v>
      </c>
      <c r="BO13" s="55">
        <v>15.264980549206348</v>
      </c>
      <c r="BP13" s="52">
        <v>1.3</v>
      </c>
      <c r="BQ13" s="53">
        <v>1000</v>
      </c>
      <c r="BR13" s="63">
        <v>270349.775577133</v>
      </c>
      <c r="BS13" s="63">
        <v>1541853.09863583</v>
      </c>
      <c r="BT13" s="62">
        <f t="shared" ref="BT13:BT15" si="13">(BQ13*1000+BR13)/BS13*100</f>
        <v>82.391103063001765</v>
      </c>
      <c r="BV13" s="52">
        <v>10</v>
      </c>
      <c r="BW13" s="52">
        <v>700</v>
      </c>
      <c r="BX13" s="52">
        <v>1469476.1471935799</v>
      </c>
      <c r="BY13" s="52">
        <v>869.37078521433398</v>
      </c>
      <c r="BZ13" s="53">
        <f t="shared" ref="BZ13:BZ15" si="14">BN13</f>
        <v>322.268166391612</v>
      </c>
      <c r="CA13" s="55">
        <v>15.264980549206348</v>
      </c>
      <c r="CB13" s="52">
        <v>1.3</v>
      </c>
      <c r="CC13" s="53">
        <v>1000</v>
      </c>
      <c r="CD13" s="63">
        <v>320530.85485771002</v>
      </c>
      <c r="CE13" s="63">
        <v>1591947.3680248701</v>
      </c>
      <c r="CF13" s="62">
        <f t="shared" ref="CF13:CF15" si="15">(CC13*1000+CD13)/CE13*100</f>
        <v>82.950660391247311</v>
      </c>
    </row>
    <row r="14" spans="2:84" x14ac:dyDescent="0.25">
      <c r="B14" s="52">
        <v>10</v>
      </c>
      <c r="C14" s="52">
        <v>100</v>
      </c>
      <c r="D14" s="52">
        <v>1931.67614644686</v>
      </c>
      <c r="E14" s="52">
        <v>703.75977760685703</v>
      </c>
      <c r="F14" s="53">
        <v>649.34745832548901</v>
      </c>
      <c r="G14" s="55">
        <v>18.787668368253968</v>
      </c>
      <c r="H14" s="52">
        <v>1.6</v>
      </c>
      <c r="I14" s="53">
        <v>1000</v>
      </c>
      <c r="J14" s="63">
        <v>39904.821347956</v>
      </c>
      <c r="K14" s="63">
        <v>1604714.24038251</v>
      </c>
      <c r="L14" s="62">
        <f t="shared" si="5"/>
        <v>64.803115419482879</v>
      </c>
      <c r="N14" s="52">
        <v>10</v>
      </c>
      <c r="O14" s="52">
        <v>200</v>
      </c>
      <c r="P14" s="52">
        <v>1992</v>
      </c>
      <c r="Q14" s="52">
        <v>779.76290538185401</v>
      </c>
      <c r="R14" s="53">
        <v>649.29999999999995</v>
      </c>
      <c r="S14" s="55">
        <v>18.787668368253968</v>
      </c>
      <c r="T14" s="52">
        <v>1.6</v>
      </c>
      <c r="U14" s="53">
        <v>1000</v>
      </c>
      <c r="V14" s="63">
        <v>96302.223141333001</v>
      </c>
      <c r="W14" s="63">
        <v>1661122.4777095199</v>
      </c>
      <c r="X14" s="62">
        <f t="shared" si="6"/>
        <v>65.997675538831828</v>
      </c>
      <c r="Z14" s="52">
        <v>10</v>
      </c>
      <c r="AA14" s="52">
        <v>300</v>
      </c>
      <c r="AB14" s="52">
        <v>2052.6824389754402</v>
      </c>
      <c r="AC14" s="52">
        <v>856.29036785522396</v>
      </c>
      <c r="AD14" s="53">
        <f t="shared" si="7"/>
        <v>649.34745832548901</v>
      </c>
      <c r="AE14" s="55">
        <v>18.787668368253968</v>
      </c>
      <c r="AF14" s="52">
        <v>1.6</v>
      </c>
      <c r="AG14" s="53">
        <v>1000</v>
      </c>
      <c r="AH14" s="63">
        <v>153828.42849368101</v>
      </c>
      <c r="AI14" s="63">
        <v>1718591.5815053999</v>
      </c>
      <c r="AJ14" s="62">
        <f t="shared" ref="AJ14:AJ15" si="16">(AG14*1000+AH14)/AI14*100</f>
        <v>67.138024002362755</v>
      </c>
      <c r="AL14" s="52">
        <f t="shared" si="8"/>
        <v>10</v>
      </c>
      <c r="AM14" s="52">
        <v>400</v>
      </c>
      <c r="AN14" s="52">
        <v>2112.8182698416199</v>
      </c>
      <c r="AO14" s="52">
        <v>933.33440181286198</v>
      </c>
      <c r="AP14" s="53">
        <f t="shared" si="9"/>
        <v>649.34745832548901</v>
      </c>
      <c r="AQ14" s="55">
        <v>18.787668368253968</v>
      </c>
      <c r="AR14" s="52">
        <v>1.6</v>
      </c>
      <c r="AS14" s="53">
        <v>1000</v>
      </c>
      <c r="AT14" s="63">
        <v>212456.682820488</v>
      </c>
      <c r="AU14" s="63">
        <v>1777195.6942487599</v>
      </c>
      <c r="AV14" s="62">
        <f t="shared" ref="AV14:AV15" si="17">(AS14*1000+AT14)/AU14*100</f>
        <v>68.223026127294702</v>
      </c>
      <c r="AX14" s="52">
        <v>10</v>
      </c>
      <c r="AY14" s="52">
        <v>500</v>
      </c>
      <c r="AZ14" s="52">
        <v>2172.4732981765801</v>
      </c>
      <c r="BA14" s="52">
        <v>1010.86569177901</v>
      </c>
      <c r="BB14" s="53">
        <f t="shared" si="10"/>
        <v>649.34745832548901</v>
      </c>
      <c r="BC14" s="55">
        <v>18.787668368253968</v>
      </c>
      <c r="BD14" s="52">
        <v>1.6</v>
      </c>
      <c r="BE14" s="53">
        <v>1000</v>
      </c>
      <c r="BF14" s="63">
        <v>272146.17277974403</v>
      </c>
      <c r="BG14" s="63">
        <v>1836860.8144644799</v>
      </c>
      <c r="BH14" s="62">
        <f t="shared" si="11"/>
        <v>69.256536083852751</v>
      </c>
      <c r="BJ14" s="52">
        <v>10</v>
      </c>
      <c r="BK14" s="52">
        <v>600</v>
      </c>
      <c r="BL14" s="52">
        <v>2231.46918336009</v>
      </c>
      <c r="BM14" s="52">
        <v>1088.83440131364</v>
      </c>
      <c r="BN14" s="53">
        <f t="shared" si="12"/>
        <v>649.34745832548901</v>
      </c>
      <c r="BO14" s="55">
        <v>18.787668368253968</v>
      </c>
      <c r="BP14" s="52">
        <v>1.6</v>
      </c>
      <c r="BQ14" s="53">
        <v>1000</v>
      </c>
      <c r="BR14" s="63">
        <v>332846.784236376</v>
      </c>
      <c r="BS14" s="63">
        <v>1897536.6544870599</v>
      </c>
      <c r="BT14" s="62">
        <f t="shared" si="13"/>
        <v>70.240897907538425</v>
      </c>
      <c r="BV14" s="52">
        <v>10</v>
      </c>
      <c r="BW14" s="52">
        <v>700</v>
      </c>
      <c r="BX14" s="52">
        <v>1469476.1471935799</v>
      </c>
      <c r="BY14" s="52">
        <v>1167.1766352336101</v>
      </c>
      <c r="BZ14" s="53">
        <f t="shared" si="14"/>
        <v>649.34745832548901</v>
      </c>
      <c r="CA14" s="55">
        <v>18.787668368253968</v>
      </c>
      <c r="CB14" s="52">
        <v>1.6</v>
      </c>
      <c r="CC14" s="53">
        <v>1000</v>
      </c>
      <c r="CD14" s="63">
        <v>394501.59538675402</v>
      </c>
      <c r="CE14" s="63">
        <v>1959166.3002151099</v>
      </c>
      <c r="CF14" s="62">
        <f t="shared" si="15"/>
        <v>71.178316778603346</v>
      </c>
    </row>
    <row r="15" spans="2:84" x14ac:dyDescent="0.25">
      <c r="B15" s="52">
        <v>10</v>
      </c>
      <c r="C15" s="52">
        <v>100</v>
      </c>
      <c r="D15" s="52">
        <v>1931.67614644686</v>
      </c>
      <c r="E15" s="52">
        <v>852.46152477194903</v>
      </c>
      <c r="F15" s="53">
        <v>799.44417939758398</v>
      </c>
      <c r="G15" s="55">
        <v>21.136126914285715</v>
      </c>
      <c r="H15" s="52">
        <v>1.8</v>
      </c>
      <c r="I15" s="53">
        <v>1000</v>
      </c>
      <c r="J15" s="63">
        <v>44901.1504079359</v>
      </c>
      <c r="K15" s="63">
        <v>1805321.15163574</v>
      </c>
      <c r="L15" s="62">
        <f t="shared" si="5"/>
        <v>57.878962391881728</v>
      </c>
      <c r="N15" s="52">
        <v>10</v>
      </c>
      <c r="O15" s="52">
        <v>200</v>
      </c>
      <c r="P15" s="52">
        <v>1992</v>
      </c>
      <c r="Q15" s="52">
        <v>926.63684651343999</v>
      </c>
      <c r="R15" s="53">
        <v>799.6</v>
      </c>
      <c r="S15" s="55">
        <v>21.136126914285715</v>
      </c>
      <c r="T15" s="52">
        <v>1.8</v>
      </c>
      <c r="U15" s="53">
        <v>1000</v>
      </c>
      <c r="V15" s="63">
        <v>108359.853767622</v>
      </c>
      <c r="W15" s="63">
        <v>1868762.7870121</v>
      </c>
      <c r="X15" s="62">
        <f t="shared" si="6"/>
        <v>59.309820458258386</v>
      </c>
      <c r="Z15" s="52">
        <v>10</v>
      </c>
      <c r="AA15" s="52">
        <v>300</v>
      </c>
      <c r="AB15" s="52">
        <v>2052.6824389754402</v>
      </c>
      <c r="AC15" s="52">
        <v>1001.44931497282</v>
      </c>
      <c r="AD15" s="53">
        <f t="shared" si="7"/>
        <v>799.44417939758398</v>
      </c>
      <c r="AE15" s="55">
        <v>21.136126914285715</v>
      </c>
      <c r="AF15" s="52">
        <v>1.8</v>
      </c>
      <c r="AG15" s="53">
        <v>1000</v>
      </c>
      <c r="AH15" s="63">
        <v>173088.69383435999</v>
      </c>
      <c r="AI15" s="63">
        <v>1933508.9581861401</v>
      </c>
      <c r="AJ15" s="62">
        <f t="shared" si="16"/>
        <v>60.671489980313083</v>
      </c>
      <c r="AL15" s="52">
        <f t="shared" si="8"/>
        <v>10</v>
      </c>
      <c r="AM15" s="52">
        <v>400</v>
      </c>
      <c r="AN15" s="52">
        <v>2112.8182698416199</v>
      </c>
      <c r="AO15" s="52">
        <v>1076.87195358542</v>
      </c>
      <c r="AP15" s="53">
        <f t="shared" si="9"/>
        <v>799.44417939758398</v>
      </c>
      <c r="AQ15" s="55">
        <v>21.136126914285715</v>
      </c>
      <c r="AR15" s="52">
        <v>1.8</v>
      </c>
      <c r="AS15" s="53">
        <v>1000</v>
      </c>
      <c r="AT15" s="63">
        <v>239057.56618510699</v>
      </c>
      <c r="AU15" s="63">
        <v>1999477.5911553199</v>
      </c>
      <c r="AV15" s="62">
        <f t="shared" si="17"/>
        <v>61.969064903056307</v>
      </c>
      <c r="AX15" s="52">
        <v>10</v>
      </c>
      <c r="AY15" s="52">
        <v>500</v>
      </c>
      <c r="AZ15" s="52">
        <v>2172.4732981765801</v>
      </c>
      <c r="BA15" s="52">
        <v>1152.85613951292</v>
      </c>
      <c r="BB15" s="53">
        <f t="shared" si="10"/>
        <v>799.44417939758398</v>
      </c>
      <c r="BC15" s="55">
        <v>21.136126914285715</v>
      </c>
      <c r="BD15" s="52">
        <v>1.8</v>
      </c>
      <c r="BE15" s="53">
        <v>1000</v>
      </c>
      <c r="BF15" s="63">
        <v>306220.54739641899</v>
      </c>
      <c r="BG15" s="63">
        <v>2066640.5646178999</v>
      </c>
      <c r="BH15" s="62">
        <f t="shared" si="11"/>
        <v>63.20501831618337</v>
      </c>
      <c r="BJ15" s="52">
        <v>10</v>
      </c>
      <c r="BK15" s="52">
        <v>600</v>
      </c>
      <c r="BL15" s="52">
        <v>2231.46918336009</v>
      </c>
      <c r="BM15" s="52">
        <v>1229.3227253284099</v>
      </c>
      <c r="BN15" s="53">
        <f t="shared" si="12"/>
        <v>799.44417939758398</v>
      </c>
      <c r="BO15" s="55">
        <v>21.136126914285715</v>
      </c>
      <c r="BP15" s="52">
        <v>1.8</v>
      </c>
      <c r="BQ15" s="53">
        <v>1000</v>
      </c>
      <c r="BR15" s="63">
        <v>374521.24873529398</v>
      </c>
      <c r="BS15" s="63">
        <v>2134941.2705799202</v>
      </c>
      <c r="BT15" s="62">
        <f t="shared" si="13"/>
        <v>64.382157377187653</v>
      </c>
      <c r="BV15" s="52">
        <v>10</v>
      </c>
      <c r="BW15" s="52">
        <v>700</v>
      </c>
      <c r="BX15" s="52">
        <v>1469476.1471935799</v>
      </c>
      <c r="BY15" s="52">
        <v>1306.1712043290299</v>
      </c>
      <c r="BZ15" s="53">
        <f t="shared" si="14"/>
        <v>799.44417939758398</v>
      </c>
      <c r="CA15" s="55">
        <v>21.136126914285715</v>
      </c>
      <c r="CB15" s="52">
        <v>1.8</v>
      </c>
      <c r="CC15" s="53">
        <v>1000</v>
      </c>
      <c r="CD15" s="63">
        <v>443895.62143820099</v>
      </c>
      <c r="CE15" s="63">
        <v>2204315.6428213501</v>
      </c>
      <c r="CF15" s="62">
        <f t="shared" si="15"/>
        <v>65.503124570223918</v>
      </c>
    </row>
    <row r="18" spans="2:84" x14ac:dyDescent="0.25">
      <c r="B18" s="67" t="s">
        <v>99</v>
      </c>
      <c r="C18" s="67" t="s">
        <v>97</v>
      </c>
      <c r="D18" s="67" t="s">
        <v>97</v>
      </c>
      <c r="E18" s="67" t="s">
        <v>97</v>
      </c>
      <c r="F18" s="67" t="s">
        <v>97</v>
      </c>
      <c r="G18" s="98" t="s">
        <v>96</v>
      </c>
      <c r="H18" s="98"/>
      <c r="I18" s="67" t="s">
        <v>89</v>
      </c>
      <c r="J18" s="67" t="s">
        <v>106</v>
      </c>
      <c r="K18" s="67" t="s">
        <v>106</v>
      </c>
      <c r="L18" s="68"/>
      <c r="N18" s="67" t="s">
        <v>99</v>
      </c>
      <c r="O18" s="67" t="s">
        <v>97</v>
      </c>
      <c r="P18" s="67" t="s">
        <v>97</v>
      </c>
      <c r="Q18" s="67" t="s">
        <v>97</v>
      </c>
      <c r="R18" s="67" t="s">
        <v>97</v>
      </c>
      <c r="S18" s="98" t="s">
        <v>96</v>
      </c>
      <c r="T18" s="98"/>
      <c r="U18" s="67" t="s">
        <v>89</v>
      </c>
      <c r="V18" s="67" t="s">
        <v>106</v>
      </c>
      <c r="W18" s="67" t="s">
        <v>106</v>
      </c>
      <c r="X18" s="68"/>
      <c r="Z18" s="67" t="s">
        <v>99</v>
      </c>
      <c r="AA18" s="67" t="s">
        <v>97</v>
      </c>
      <c r="AB18" s="67" t="s">
        <v>97</v>
      </c>
      <c r="AC18" s="67" t="s">
        <v>97</v>
      </c>
      <c r="AD18" s="67" t="s">
        <v>97</v>
      </c>
      <c r="AE18" s="98" t="s">
        <v>96</v>
      </c>
      <c r="AF18" s="98"/>
      <c r="AG18" s="67" t="s">
        <v>89</v>
      </c>
      <c r="AH18" s="67" t="s">
        <v>106</v>
      </c>
      <c r="AI18" s="67" t="s">
        <v>106</v>
      </c>
      <c r="AJ18" s="68"/>
      <c r="AL18" s="67" t="s">
        <v>99</v>
      </c>
      <c r="AM18" s="67" t="s">
        <v>97</v>
      </c>
      <c r="AN18" s="67" t="s">
        <v>97</v>
      </c>
      <c r="AO18" s="67" t="s">
        <v>97</v>
      </c>
      <c r="AP18" s="67" t="s">
        <v>97</v>
      </c>
      <c r="AQ18" s="98" t="s">
        <v>96</v>
      </c>
      <c r="AR18" s="98"/>
      <c r="AS18" s="67" t="s">
        <v>89</v>
      </c>
      <c r="AT18" s="67" t="s">
        <v>106</v>
      </c>
      <c r="AU18" s="67" t="s">
        <v>106</v>
      </c>
      <c r="AV18" s="68"/>
      <c r="AX18" s="67" t="s">
        <v>99</v>
      </c>
      <c r="AY18" s="67" t="s">
        <v>97</v>
      </c>
      <c r="AZ18" s="67" t="s">
        <v>97</v>
      </c>
      <c r="BA18" s="67" t="s">
        <v>97</v>
      </c>
      <c r="BB18" s="67" t="s">
        <v>97</v>
      </c>
      <c r="BC18" s="98" t="s">
        <v>96</v>
      </c>
      <c r="BD18" s="98"/>
      <c r="BE18" s="67" t="s">
        <v>89</v>
      </c>
      <c r="BF18" s="67" t="s">
        <v>106</v>
      </c>
      <c r="BG18" s="67" t="s">
        <v>106</v>
      </c>
      <c r="BH18" s="68"/>
      <c r="BJ18" s="67" t="s">
        <v>99</v>
      </c>
      <c r="BK18" s="67" t="s">
        <v>97</v>
      </c>
      <c r="BL18" s="67" t="s">
        <v>97</v>
      </c>
      <c r="BM18" s="67" t="s">
        <v>97</v>
      </c>
      <c r="BN18" s="67" t="s">
        <v>97</v>
      </c>
      <c r="BO18" s="98" t="s">
        <v>96</v>
      </c>
      <c r="BP18" s="98"/>
      <c r="BQ18" s="67" t="s">
        <v>89</v>
      </c>
      <c r="BR18" s="67" t="s">
        <v>106</v>
      </c>
      <c r="BS18" s="67" t="s">
        <v>106</v>
      </c>
      <c r="BT18" s="68"/>
      <c r="BV18" s="67" t="s">
        <v>99</v>
      </c>
      <c r="BW18" s="67" t="s">
        <v>97</v>
      </c>
      <c r="BX18" s="67" t="s">
        <v>97</v>
      </c>
      <c r="BY18" s="67" t="s">
        <v>97</v>
      </c>
      <c r="BZ18" s="67" t="s">
        <v>97</v>
      </c>
      <c r="CA18" s="98" t="s">
        <v>96</v>
      </c>
      <c r="CB18" s="98"/>
      <c r="CC18" s="67" t="s">
        <v>89</v>
      </c>
      <c r="CD18" s="67" t="s">
        <v>106</v>
      </c>
      <c r="CE18" s="67" t="s">
        <v>106</v>
      </c>
      <c r="CF18" s="68"/>
    </row>
    <row r="19" spans="2:84" x14ac:dyDescent="0.25">
      <c r="B19" s="52" t="s">
        <v>98</v>
      </c>
      <c r="C19" s="52" t="s">
        <v>103</v>
      </c>
      <c r="D19" s="52" t="s">
        <v>93</v>
      </c>
      <c r="E19" s="53" t="s">
        <v>107</v>
      </c>
      <c r="F19" s="52" t="s">
        <v>101</v>
      </c>
      <c r="G19" s="53" t="s">
        <v>94</v>
      </c>
      <c r="H19" s="53" t="s">
        <v>95</v>
      </c>
      <c r="I19" s="53" t="s">
        <v>100</v>
      </c>
      <c r="J19" s="53" t="s">
        <v>104</v>
      </c>
      <c r="K19" s="53" t="s">
        <v>105</v>
      </c>
      <c r="L19" s="53" t="s">
        <v>92</v>
      </c>
      <c r="N19" s="52" t="s">
        <v>98</v>
      </c>
      <c r="O19" s="52" t="s">
        <v>103</v>
      </c>
      <c r="P19" s="52" t="s">
        <v>93</v>
      </c>
      <c r="Q19" s="53" t="s">
        <v>107</v>
      </c>
      <c r="R19" s="52" t="s">
        <v>101</v>
      </c>
      <c r="S19" s="53" t="s">
        <v>94</v>
      </c>
      <c r="T19" s="53" t="s">
        <v>95</v>
      </c>
      <c r="U19" s="53" t="s">
        <v>100</v>
      </c>
      <c r="V19" s="53" t="s">
        <v>104</v>
      </c>
      <c r="W19" s="53" t="s">
        <v>105</v>
      </c>
      <c r="X19" s="53" t="s">
        <v>92</v>
      </c>
      <c r="Z19" s="52" t="s">
        <v>98</v>
      </c>
      <c r="AA19" s="52" t="s">
        <v>103</v>
      </c>
      <c r="AB19" s="52" t="s">
        <v>93</v>
      </c>
      <c r="AC19" s="53" t="s">
        <v>107</v>
      </c>
      <c r="AD19" s="52" t="s">
        <v>101</v>
      </c>
      <c r="AE19" s="53" t="s">
        <v>94</v>
      </c>
      <c r="AF19" s="53" t="s">
        <v>95</v>
      </c>
      <c r="AG19" s="53" t="s">
        <v>100</v>
      </c>
      <c r="AH19" s="53" t="s">
        <v>104</v>
      </c>
      <c r="AI19" s="53" t="s">
        <v>105</v>
      </c>
      <c r="AJ19" s="53" t="s">
        <v>92</v>
      </c>
      <c r="AL19" s="52" t="s">
        <v>98</v>
      </c>
      <c r="AM19" s="52" t="s">
        <v>103</v>
      </c>
      <c r="AN19" s="52" t="s">
        <v>93</v>
      </c>
      <c r="AO19" s="53" t="s">
        <v>107</v>
      </c>
      <c r="AP19" s="52" t="s">
        <v>101</v>
      </c>
      <c r="AQ19" s="53" t="s">
        <v>94</v>
      </c>
      <c r="AR19" s="53" t="s">
        <v>95</v>
      </c>
      <c r="AS19" s="53" t="s">
        <v>100</v>
      </c>
      <c r="AT19" s="53" t="s">
        <v>104</v>
      </c>
      <c r="AU19" s="53" t="s">
        <v>105</v>
      </c>
      <c r="AV19" s="53" t="s">
        <v>92</v>
      </c>
      <c r="AX19" s="52" t="s">
        <v>98</v>
      </c>
      <c r="AY19" s="52" t="s">
        <v>103</v>
      </c>
      <c r="AZ19" s="52" t="s">
        <v>93</v>
      </c>
      <c r="BA19" s="53" t="s">
        <v>107</v>
      </c>
      <c r="BB19" s="52" t="s">
        <v>101</v>
      </c>
      <c r="BC19" s="53" t="s">
        <v>94</v>
      </c>
      <c r="BD19" s="53" t="s">
        <v>95</v>
      </c>
      <c r="BE19" s="53" t="s">
        <v>100</v>
      </c>
      <c r="BF19" s="53" t="s">
        <v>104</v>
      </c>
      <c r="BG19" s="53" t="s">
        <v>105</v>
      </c>
      <c r="BH19" s="53" t="s">
        <v>92</v>
      </c>
      <c r="BJ19" s="52" t="s">
        <v>98</v>
      </c>
      <c r="BK19" s="52" t="s">
        <v>103</v>
      </c>
      <c r="BL19" s="52" t="s">
        <v>93</v>
      </c>
      <c r="BM19" s="53" t="s">
        <v>107</v>
      </c>
      <c r="BN19" s="52" t="s">
        <v>101</v>
      </c>
      <c r="BO19" s="53" t="s">
        <v>94</v>
      </c>
      <c r="BP19" s="53" t="s">
        <v>95</v>
      </c>
      <c r="BQ19" s="53" t="s">
        <v>100</v>
      </c>
      <c r="BR19" s="53" t="s">
        <v>104</v>
      </c>
      <c r="BS19" s="53" t="s">
        <v>105</v>
      </c>
      <c r="BT19" s="53" t="s">
        <v>92</v>
      </c>
      <c r="BV19" s="52" t="s">
        <v>98</v>
      </c>
      <c r="BW19" s="52" t="s">
        <v>103</v>
      </c>
      <c r="BX19" s="52" t="s">
        <v>93</v>
      </c>
      <c r="BY19" s="53" t="s">
        <v>107</v>
      </c>
      <c r="BZ19" s="52" t="s">
        <v>101</v>
      </c>
      <c r="CA19" s="53" t="s">
        <v>94</v>
      </c>
      <c r="CB19" s="53" t="s">
        <v>95</v>
      </c>
      <c r="CC19" s="53" t="s">
        <v>100</v>
      </c>
      <c r="CD19" s="53" t="s">
        <v>104</v>
      </c>
      <c r="CE19" s="53" t="s">
        <v>105</v>
      </c>
      <c r="CF19" s="53" t="s">
        <v>92</v>
      </c>
    </row>
    <row r="20" spans="2:84" x14ac:dyDescent="0.25">
      <c r="B20" s="52">
        <v>20</v>
      </c>
      <c r="C20" s="52">
        <v>100</v>
      </c>
      <c r="D20" s="52">
        <v>1822.1151297128599</v>
      </c>
      <c r="E20" s="66">
        <v>219.857209306752</v>
      </c>
      <c r="F20" s="53">
        <v>158.57889940277099</v>
      </c>
      <c r="G20" s="55">
        <v>15.370247949206348</v>
      </c>
      <c r="H20" s="52">
        <v>1.2</v>
      </c>
      <c r="I20" s="53">
        <v>1000</v>
      </c>
      <c r="J20" s="63">
        <v>32645.727614473799</v>
      </c>
      <c r="K20" s="63">
        <v>1205348.20694205</v>
      </c>
      <c r="L20" s="62">
        <f>(I20*1000+J20)/K20*100</f>
        <v>85.671984383191656</v>
      </c>
      <c r="N20" s="52">
        <v>20</v>
      </c>
      <c r="O20" s="52">
        <v>200</v>
      </c>
      <c r="P20" s="52">
        <v>1886.0818077204799</v>
      </c>
      <c r="Q20" s="66">
        <v>304.96025712839298</v>
      </c>
      <c r="R20" s="53">
        <f>F20</f>
        <v>158.57889940277099</v>
      </c>
      <c r="S20" s="55">
        <v>15.370247949206348</v>
      </c>
      <c r="T20" s="52">
        <v>1.2</v>
      </c>
      <c r="U20" s="53">
        <v>1000</v>
      </c>
      <c r="V20" s="63">
        <v>78783.867190556004</v>
      </c>
      <c r="W20" s="63">
        <v>1251486.3565255399</v>
      </c>
      <c r="X20" s="62">
        <f>(U20*1000+V20)/W20*100</f>
        <v>86.200209979559645</v>
      </c>
      <c r="Z20" s="52">
        <v>20</v>
      </c>
      <c r="AA20" s="52">
        <v>300</v>
      </c>
      <c r="AB20" s="52">
        <v>1950</v>
      </c>
      <c r="AC20" s="66">
        <v>390.05403159108897</v>
      </c>
      <c r="AD20" s="53">
        <f>R20</f>
        <v>158.57889940277099</v>
      </c>
      <c r="AE20" s="55">
        <v>15.370247949206348</v>
      </c>
      <c r="AF20" s="52">
        <v>1.2</v>
      </c>
      <c r="AG20" s="53">
        <v>1000</v>
      </c>
      <c r="AH20" s="63">
        <v>125845.469452891</v>
      </c>
      <c r="AI20" s="63">
        <v>1298549.81285571</v>
      </c>
      <c r="AJ20" s="62">
        <f>(AG20*1000+AH20)/AI20*100</f>
        <v>86.700214216425337</v>
      </c>
      <c r="AL20" s="52">
        <v>20</v>
      </c>
      <c r="AM20" s="52">
        <v>400</v>
      </c>
      <c r="AN20" s="52">
        <v>2014.0675792332199</v>
      </c>
      <c r="AO20" s="66">
        <v>475.13240868259402</v>
      </c>
      <c r="AP20" s="53">
        <f>AD20</f>
        <v>158.57889940277099</v>
      </c>
      <c r="AQ20" s="55">
        <v>15.370247949206348</v>
      </c>
      <c r="AR20" s="52">
        <v>1.2</v>
      </c>
      <c r="AS20" s="53">
        <v>1000</v>
      </c>
      <c r="AT20" s="63">
        <v>173808.646748586</v>
      </c>
      <c r="AU20" s="63">
        <v>1346511.3446456101</v>
      </c>
      <c r="AV20" s="62">
        <f>(AS20*1000+AT20)/AU20*100</f>
        <v>87.174062915713662</v>
      </c>
      <c r="AX20" s="52">
        <v>20</v>
      </c>
      <c r="AY20" s="52">
        <v>500</v>
      </c>
      <c r="AZ20" s="52">
        <v>2077.7084167684202</v>
      </c>
      <c r="BA20" s="66">
        <v>560.18967079544097</v>
      </c>
      <c r="BB20" s="53">
        <f>AP20</f>
        <v>158.57889940277099</v>
      </c>
      <c r="BC20" s="55">
        <v>15.370247949206348</v>
      </c>
      <c r="BD20" s="52">
        <v>1.2</v>
      </c>
      <c r="BE20" s="53">
        <v>1000</v>
      </c>
      <c r="BF20" s="63">
        <v>222640.01009853199</v>
      </c>
      <c r="BG20" s="63">
        <v>1395342.49901071</v>
      </c>
      <c r="BH20" s="62">
        <f>(BE20*1000+BF20)/BG20*100</f>
        <v>87.622932073335178</v>
      </c>
      <c r="BJ20" s="52">
        <v>20</v>
      </c>
      <c r="BK20" s="52">
        <v>600</v>
      </c>
      <c r="BL20" s="52">
        <v>2140.8464297800701</v>
      </c>
      <c r="BM20" s="66">
        <v>645.22331809836305</v>
      </c>
      <c r="BN20" s="53">
        <f>BB20</f>
        <v>158.57889940277099</v>
      </c>
      <c r="BO20" s="55">
        <v>15.370247949206348</v>
      </c>
      <c r="BP20" s="52">
        <v>1.2</v>
      </c>
      <c r="BQ20" s="53">
        <v>1000</v>
      </c>
      <c r="BR20" s="63">
        <v>272298.56163961597</v>
      </c>
      <c r="BS20" s="63">
        <v>1445001.0503754499</v>
      </c>
      <c r="BT20" s="62">
        <f>(BQ20*1000+BR20)/BS20*100</f>
        <v>88.048279363467515</v>
      </c>
      <c r="BV20" s="52">
        <v>20</v>
      </c>
      <c r="BW20" s="52">
        <v>700</v>
      </c>
      <c r="BX20" s="52">
        <v>2203.28102891867</v>
      </c>
      <c r="BY20" s="66">
        <v>730.22772234995603</v>
      </c>
      <c r="BZ20" s="53">
        <f>BN20</f>
        <v>158.57889940277099</v>
      </c>
      <c r="CA20" s="55">
        <v>15.370247949206348</v>
      </c>
      <c r="CB20" s="52">
        <v>1.2</v>
      </c>
      <c r="CC20" s="53">
        <v>1000</v>
      </c>
      <c r="CD20" s="63">
        <v>322737.734224463</v>
      </c>
      <c r="CE20" s="63">
        <v>1495440.22274489</v>
      </c>
      <c r="CF20" s="62">
        <f>(CC20*1000+CD20)/CE20*100</f>
        <v>88.451394720182748</v>
      </c>
    </row>
    <row r="21" spans="2:84" x14ac:dyDescent="0.25">
      <c r="B21" s="52">
        <v>20</v>
      </c>
      <c r="C21" s="52">
        <v>100</v>
      </c>
      <c r="D21" s="52">
        <v>1822.1151297128599</v>
      </c>
      <c r="E21" s="52">
        <v>360.82378558319198</v>
      </c>
      <c r="F21" s="53">
        <v>301.57382989900998</v>
      </c>
      <c r="G21" s="55">
        <v>16.651101944973547</v>
      </c>
      <c r="H21" s="52">
        <v>1.3</v>
      </c>
      <c r="I21" s="53">
        <v>1000</v>
      </c>
      <c r="J21" s="63">
        <v>35364.434923941903</v>
      </c>
      <c r="K21" s="63">
        <v>1305792.71539237</v>
      </c>
      <c r="L21" s="62">
        <f t="shared" ref="L21:L23" si="18">(I21*1000+J21)/K21*100</f>
        <v>79.290106516854877</v>
      </c>
      <c r="N21" s="52">
        <v>20</v>
      </c>
      <c r="O21" s="52">
        <v>200</v>
      </c>
      <c r="P21" s="52">
        <v>1886.0818077204799</v>
      </c>
      <c r="Q21" s="52">
        <v>443.21939770227198</v>
      </c>
      <c r="R21" s="53">
        <f t="shared" ref="R21:R23" si="19">F21</f>
        <v>301.57382989900998</v>
      </c>
      <c r="S21" s="55">
        <v>16.651101944973547</v>
      </c>
      <c r="T21" s="52">
        <v>1.3</v>
      </c>
      <c r="U21" s="53">
        <v>1000</v>
      </c>
      <c r="V21" s="63">
        <v>85344.917939021296</v>
      </c>
      <c r="W21" s="63">
        <v>1355773.2092545701</v>
      </c>
      <c r="X21" s="62">
        <f t="shared" ref="X21:X23" si="20">(U21*1000+V21)/W21*100</f>
        <v>80.053574634046981</v>
      </c>
      <c r="Z21" s="52">
        <v>20</v>
      </c>
      <c r="AA21" s="52">
        <v>300</v>
      </c>
      <c r="AB21" s="52">
        <v>1950</v>
      </c>
      <c r="AC21" s="52">
        <v>525.76634408050904</v>
      </c>
      <c r="AD21" s="53">
        <f t="shared" ref="AD21:AD23" si="21">R21</f>
        <v>301.57382989900998</v>
      </c>
      <c r="AE21" s="55">
        <v>16.651101944973547</v>
      </c>
      <c r="AF21" s="52">
        <v>1.3</v>
      </c>
      <c r="AG21" s="53">
        <v>1000</v>
      </c>
      <c r="AH21" s="63">
        <v>136325.76879574699</v>
      </c>
      <c r="AI21" s="63">
        <v>1406754.0600795101</v>
      </c>
      <c r="AJ21" s="62">
        <f>(AG21*1000+AH21)/AI21*100</f>
        <v>80.776434278179494</v>
      </c>
      <c r="AL21" s="52">
        <v>20</v>
      </c>
      <c r="AM21" s="52">
        <v>400</v>
      </c>
      <c r="AN21" s="52">
        <v>2014.0675792332199</v>
      </c>
      <c r="AO21" s="52">
        <v>608.47423007693703</v>
      </c>
      <c r="AP21" s="53">
        <f t="shared" ref="AP21:AP23" si="22">AD21</f>
        <v>301.57382989900998</v>
      </c>
      <c r="AQ21" s="55">
        <v>16.651101944973547</v>
      </c>
      <c r="AR21" s="52">
        <v>1.3</v>
      </c>
      <c r="AS21" s="53">
        <v>1000</v>
      </c>
      <c r="AT21" s="63">
        <v>188283.277056861</v>
      </c>
      <c r="AU21" s="63">
        <v>1458711.7942701001</v>
      </c>
      <c r="AV21" s="62">
        <f t="shared" ref="AV21:AV23" si="23">(AS21*1000+AT21)/AU21*100</f>
        <v>81.461141379983545</v>
      </c>
      <c r="AX21" s="52">
        <v>20</v>
      </c>
      <c r="AY21" s="52">
        <v>500</v>
      </c>
      <c r="AZ21" s="52">
        <v>2077.7084167684202</v>
      </c>
      <c r="BA21" s="52">
        <v>691.34195672507201</v>
      </c>
      <c r="BB21" s="53">
        <f t="shared" ref="BB21:BB23" si="24">AP21</f>
        <v>301.57382989900998</v>
      </c>
      <c r="BC21" s="55">
        <v>16.651101944973547</v>
      </c>
      <c r="BD21" s="52">
        <v>1.3</v>
      </c>
      <c r="BE21" s="53">
        <v>1000</v>
      </c>
      <c r="BF21" s="63">
        <v>241181.27313861801</v>
      </c>
      <c r="BG21" s="63">
        <v>1511609.56399518</v>
      </c>
      <c r="BH21" s="62">
        <f t="shared" ref="BH21:BH23" si="25">(BE21*1000+BF21)/BG21*100</f>
        <v>82.109911362176049</v>
      </c>
      <c r="BJ21" s="52">
        <v>20</v>
      </c>
      <c r="BK21" s="52">
        <v>600</v>
      </c>
      <c r="BL21" s="52">
        <v>2140.8464297800701</v>
      </c>
      <c r="BM21" s="52">
        <v>774.36261665853397</v>
      </c>
      <c r="BN21" s="53">
        <f t="shared" ref="BN21:BN23" si="26">BB21</f>
        <v>301.57382989900998</v>
      </c>
      <c r="BO21" s="55">
        <v>16.651101944973547</v>
      </c>
      <c r="BP21" s="52">
        <v>1.3</v>
      </c>
      <c r="BQ21" s="53">
        <v>1000</v>
      </c>
      <c r="BR21" s="63">
        <v>294975.34491213999</v>
      </c>
      <c r="BS21" s="63">
        <v>1565403.6355770801</v>
      </c>
      <c r="BT21" s="62">
        <f t="shared" ref="BT21:BT23" si="27">(BQ21*1000+BR21)/BS21*100</f>
        <v>82.724692563701126</v>
      </c>
      <c r="BV21" s="52">
        <v>20</v>
      </c>
      <c r="BW21" s="52">
        <v>700</v>
      </c>
      <c r="BX21" s="52">
        <v>2203.28102891867</v>
      </c>
      <c r="BY21" s="52">
        <v>774.36261665853397</v>
      </c>
      <c r="BZ21" s="53">
        <f t="shared" ref="BZ21:BZ23" si="28">BN21</f>
        <v>301.57382989900998</v>
      </c>
      <c r="CA21" s="55">
        <v>16.651101944973547</v>
      </c>
      <c r="CB21" s="52">
        <v>1.3</v>
      </c>
      <c r="CC21" s="53">
        <v>1000</v>
      </c>
      <c r="CD21" s="63">
        <v>294975.34491213999</v>
      </c>
      <c r="CE21" s="63">
        <v>1620043.3375913801</v>
      </c>
      <c r="CF21" s="62">
        <f t="shared" ref="CF21:CF23" si="29">(CC21*1000+CD21)/CE21*100</f>
        <v>79.93461130721731</v>
      </c>
    </row>
    <row r="22" spans="2:84" x14ac:dyDescent="0.25">
      <c r="B22" s="52">
        <v>20</v>
      </c>
      <c r="C22" s="52">
        <v>100</v>
      </c>
      <c r="D22" s="52">
        <v>1822.1151297128599</v>
      </c>
      <c r="E22" s="52">
        <v>662.84478126242004</v>
      </c>
      <c r="F22" s="53">
        <v>607.29138785315399</v>
      </c>
      <c r="G22" s="55">
        <v>20.49366393227513</v>
      </c>
      <c r="H22" s="52">
        <v>1.6</v>
      </c>
      <c r="I22" s="53">
        <v>1000</v>
      </c>
      <c r="J22" s="63">
        <v>43520.556852346701</v>
      </c>
      <c r="K22" s="63">
        <v>1607126.24074631</v>
      </c>
      <c r="L22" s="62">
        <f t="shared" si="18"/>
        <v>64.930839307792112</v>
      </c>
      <c r="N22" s="52">
        <v>20</v>
      </c>
      <c r="O22" s="52">
        <v>200</v>
      </c>
      <c r="P22" s="52">
        <v>1886.0818077204799</v>
      </c>
      <c r="Q22" s="52">
        <v>740.40314324904102</v>
      </c>
      <c r="R22" s="53">
        <f t="shared" si="19"/>
        <v>607.29138785315399</v>
      </c>
      <c r="S22" s="55">
        <v>20.49366393227513</v>
      </c>
      <c r="T22" s="52">
        <v>1.6</v>
      </c>
      <c r="U22" s="53">
        <v>1000</v>
      </c>
      <c r="V22" s="63">
        <v>105028.070184417</v>
      </c>
      <c r="W22" s="63">
        <v>1668633.76743891</v>
      </c>
      <c r="X22" s="62">
        <f t="shared" si="20"/>
        <v>66.223523204882824</v>
      </c>
      <c r="Z22" s="52">
        <v>20</v>
      </c>
      <c r="AA22" s="52">
        <v>300</v>
      </c>
      <c r="AB22" s="52">
        <v>1950</v>
      </c>
      <c r="AC22" s="52">
        <v>818.45779670259003</v>
      </c>
      <c r="AD22" s="53">
        <f t="shared" si="21"/>
        <v>607.29138785315399</v>
      </c>
      <c r="AE22" s="55">
        <v>20.493663932275101</v>
      </c>
      <c r="AF22" s="52">
        <v>1.6</v>
      </c>
      <c r="AG22" s="53">
        <v>1000</v>
      </c>
      <c r="AH22" s="63">
        <v>167766.66682431599</v>
      </c>
      <c r="AI22" s="63">
        <v>1731399.97414276</v>
      </c>
      <c r="AJ22" s="62">
        <f>(AG22*1000+AH22)/AI22*100</f>
        <v>67.446383519931217</v>
      </c>
      <c r="AL22" s="52">
        <v>20</v>
      </c>
      <c r="AM22" s="52">
        <v>400</v>
      </c>
      <c r="AN22" s="52">
        <v>2014.0675792332199</v>
      </c>
      <c r="AO22" s="52">
        <v>897.00616558407899</v>
      </c>
      <c r="AP22" s="53">
        <f t="shared" si="22"/>
        <v>607.29138785315399</v>
      </c>
      <c r="AQ22" s="55">
        <v>20.49366393227513</v>
      </c>
      <c r="AR22" s="52">
        <v>1.6</v>
      </c>
      <c r="AS22" s="53">
        <v>1000</v>
      </c>
      <c r="AT22" s="63">
        <v>231707.16798168601</v>
      </c>
      <c r="AU22" s="63">
        <v>1795313.1431421</v>
      </c>
      <c r="AV22" s="62">
        <f t="shared" si="23"/>
        <v>68.606815066590073</v>
      </c>
      <c r="AX22" s="52">
        <v>20</v>
      </c>
      <c r="AY22" s="52">
        <v>500</v>
      </c>
      <c r="AZ22" s="52">
        <v>2077.7084167684202</v>
      </c>
      <c r="BA22" s="52">
        <v>976.02328817099794</v>
      </c>
      <c r="BB22" s="53">
        <f t="shared" si="24"/>
        <v>607.29138785315399</v>
      </c>
      <c r="BC22" s="55">
        <v>20.49366393227513</v>
      </c>
      <c r="BD22" s="52">
        <v>1.6</v>
      </c>
      <c r="BE22" s="53">
        <v>1000</v>
      </c>
      <c r="BF22" s="63">
        <v>296805.06225887599</v>
      </c>
      <c r="BG22" s="63">
        <v>1860410.75894809</v>
      </c>
      <c r="BH22" s="62">
        <f t="shared" si="25"/>
        <v>69.705308680977154</v>
      </c>
      <c r="BJ22" s="52">
        <v>20</v>
      </c>
      <c r="BK22" s="52">
        <v>600</v>
      </c>
      <c r="BL22" s="52">
        <v>2140.8464297800701</v>
      </c>
      <c r="BM22" s="52">
        <v>1055.46789157898</v>
      </c>
      <c r="BN22" s="53">
        <f t="shared" si="26"/>
        <v>607.29138785315399</v>
      </c>
      <c r="BO22" s="55">
        <v>20.49366393227513</v>
      </c>
      <c r="BP22" s="52">
        <v>1.6</v>
      </c>
      <c r="BQ22" s="53">
        <v>1000</v>
      </c>
      <c r="BR22" s="63">
        <v>363005.694729715</v>
      </c>
      <c r="BS22" s="63">
        <v>1926611.39118333</v>
      </c>
      <c r="BT22" s="62">
        <f t="shared" si="27"/>
        <v>70.7462698999487</v>
      </c>
      <c r="BV22" s="52">
        <v>20</v>
      </c>
      <c r="BW22" s="52">
        <v>700</v>
      </c>
      <c r="BX22" s="52">
        <v>2203.28102891867</v>
      </c>
      <c r="BY22" s="52">
        <v>1135.28183885832</v>
      </c>
      <c r="BZ22" s="53">
        <f t="shared" si="28"/>
        <v>607.29138785315399</v>
      </c>
      <c r="CA22" s="55">
        <v>20.49366393227513</v>
      </c>
      <c r="CB22" s="52">
        <v>1.6</v>
      </c>
      <c r="CC22" s="53">
        <v>1000</v>
      </c>
      <c r="CD22" s="63">
        <v>430246.985963516</v>
      </c>
      <c r="CE22" s="63">
        <v>1993852.68213035</v>
      </c>
      <c r="CF22" s="62">
        <f t="shared" si="29"/>
        <v>71.73283155681068</v>
      </c>
    </row>
    <row r="23" spans="2:84" x14ac:dyDescent="0.25">
      <c r="B23" s="52">
        <v>20</v>
      </c>
      <c r="C23" s="52">
        <v>100</v>
      </c>
      <c r="D23" s="52">
        <v>1822.1151297128599</v>
      </c>
      <c r="E23" s="52">
        <v>802.23162811595398</v>
      </c>
      <c r="F23" s="53">
        <v>748.048936884554</v>
      </c>
      <c r="G23" s="55">
        <v>23.05537192380952</v>
      </c>
      <c r="H23" s="52">
        <v>1.8</v>
      </c>
      <c r="I23" s="53">
        <v>1000</v>
      </c>
      <c r="J23" s="63">
        <v>48957.971471283097</v>
      </c>
      <c r="K23" s="63">
        <v>1808015.2576490501</v>
      </c>
      <c r="L23" s="62">
        <f t="shared" si="18"/>
        <v>58.01709731339524</v>
      </c>
      <c r="N23" s="52">
        <v>20</v>
      </c>
      <c r="O23" s="52">
        <v>200</v>
      </c>
      <c r="P23" s="52">
        <v>1886.0818077204799</v>
      </c>
      <c r="Q23" s="52">
        <v>877.99934190440399</v>
      </c>
      <c r="R23" s="53">
        <f t="shared" si="19"/>
        <v>748.048936884554</v>
      </c>
      <c r="S23" s="55">
        <v>23.05537192380952</v>
      </c>
      <c r="T23" s="52">
        <v>1.8</v>
      </c>
      <c r="U23" s="53">
        <v>1000</v>
      </c>
      <c r="V23" s="63">
        <v>118150.171681348</v>
      </c>
      <c r="W23" s="63">
        <v>1877207.4728951801</v>
      </c>
      <c r="X23" s="62">
        <f t="shared" si="20"/>
        <v>59.564549354624454</v>
      </c>
      <c r="Z23" s="52">
        <v>20</v>
      </c>
      <c r="AA23" s="52">
        <v>300</v>
      </c>
      <c r="AB23" s="52">
        <v>1950</v>
      </c>
      <c r="AC23" s="52">
        <v>954.38289664977503</v>
      </c>
      <c r="AD23" s="53">
        <f t="shared" si="21"/>
        <v>748.048936884554</v>
      </c>
      <c r="AE23" s="55">
        <v>23.05537192380952</v>
      </c>
      <c r="AF23" s="52">
        <v>1.8</v>
      </c>
      <c r="AG23" s="53">
        <v>1000</v>
      </c>
      <c r="AH23" s="63">
        <v>188727.265510028</v>
      </c>
      <c r="AI23" s="63">
        <v>1947824.7153362399</v>
      </c>
      <c r="AJ23" s="62">
        <f>(AG23*1000+AH23)/AI23*100</f>
        <v>61.028451695399397</v>
      </c>
      <c r="AL23" s="52">
        <v>20</v>
      </c>
      <c r="AM23" s="52">
        <v>400</v>
      </c>
      <c r="AN23" s="52">
        <v>2014.0675792332199</v>
      </c>
      <c r="AO23" s="52">
        <v>1031.36355789032</v>
      </c>
      <c r="AP23" s="53">
        <f t="shared" si="22"/>
        <v>748.048936884554</v>
      </c>
      <c r="AQ23" s="55">
        <v>23.05537192380952</v>
      </c>
      <c r="AR23" s="52">
        <v>1.8</v>
      </c>
      <c r="AS23" s="53">
        <v>1000</v>
      </c>
      <c r="AT23" s="63">
        <v>260656.42859823699</v>
      </c>
      <c r="AU23" s="63">
        <v>2019714.0423905901</v>
      </c>
      <c r="AV23" s="62">
        <f t="shared" si="23"/>
        <v>62.417570118296986</v>
      </c>
      <c r="AX23" s="52">
        <v>20</v>
      </c>
      <c r="AY23" s="52">
        <v>500</v>
      </c>
      <c r="AZ23" s="52">
        <v>2077.7084167684202</v>
      </c>
      <c r="BA23" s="52">
        <v>1108.8973442142801</v>
      </c>
      <c r="BB23" s="53">
        <f t="shared" si="24"/>
        <v>748.048936884554</v>
      </c>
      <c r="BC23" s="55">
        <v>23.05537192380952</v>
      </c>
      <c r="BD23" s="52">
        <v>1.8</v>
      </c>
      <c r="BE23" s="53">
        <v>1000</v>
      </c>
      <c r="BF23" s="63">
        <v>333887.58833904797</v>
      </c>
      <c r="BG23" s="63">
        <v>2092944.8889167299</v>
      </c>
      <c r="BH23" s="62">
        <f t="shared" si="25"/>
        <v>63.732571048702759</v>
      </c>
      <c r="BJ23" s="52">
        <v>20</v>
      </c>
      <c r="BK23" s="52">
        <v>600</v>
      </c>
      <c r="BL23" s="52">
        <v>2140.8464297800701</v>
      </c>
      <c r="BM23" s="52">
        <v>1186.9227463283801</v>
      </c>
      <c r="BN23" s="53">
        <f t="shared" si="26"/>
        <v>748.048936884554</v>
      </c>
      <c r="BO23" s="55">
        <v>23.05537192380952</v>
      </c>
      <c r="BP23" s="52">
        <v>1.8</v>
      </c>
      <c r="BQ23" s="53">
        <v>1000</v>
      </c>
      <c r="BR23" s="63">
        <v>408359.26127476501</v>
      </c>
      <c r="BS23" s="63">
        <v>2167416.5615870501</v>
      </c>
      <c r="BT23" s="62">
        <f t="shared" si="27"/>
        <v>64.978707196161707</v>
      </c>
      <c r="BV23" s="52">
        <v>20</v>
      </c>
      <c r="BW23" s="52">
        <v>700</v>
      </c>
      <c r="BX23" s="52">
        <v>2203.28102891867</v>
      </c>
      <c r="BY23" s="52">
        <v>1265.3479361780501</v>
      </c>
      <c r="BZ23" s="53">
        <f t="shared" si="28"/>
        <v>748.048936884554</v>
      </c>
      <c r="CA23" s="55">
        <v>23.05537192380952</v>
      </c>
      <c r="CB23" s="52">
        <v>1.8</v>
      </c>
      <c r="CC23" s="53">
        <v>1000</v>
      </c>
      <c r="CD23" s="63">
        <v>484001.61183304299</v>
      </c>
      <c r="CE23" s="63">
        <v>2243058.9118214198</v>
      </c>
      <c r="CF23" s="62">
        <f t="shared" si="29"/>
        <v>66.159725186530949</v>
      </c>
    </row>
    <row r="26" spans="2:84" x14ac:dyDescent="0.25">
      <c r="B26" s="69" t="s">
        <v>99</v>
      </c>
      <c r="C26" s="69" t="s">
        <v>97</v>
      </c>
      <c r="D26" s="69" t="s">
        <v>97</v>
      </c>
      <c r="E26" s="69" t="s">
        <v>97</v>
      </c>
      <c r="F26" s="69" t="s">
        <v>97</v>
      </c>
      <c r="G26" s="99" t="s">
        <v>96</v>
      </c>
      <c r="H26" s="99"/>
      <c r="I26" s="69" t="s">
        <v>89</v>
      </c>
      <c r="J26" s="69" t="s">
        <v>106</v>
      </c>
      <c r="K26" s="69" t="s">
        <v>106</v>
      </c>
      <c r="L26" s="70"/>
      <c r="N26" s="69" t="s">
        <v>99</v>
      </c>
      <c r="O26" s="69" t="s">
        <v>97</v>
      </c>
      <c r="P26" s="69" t="s">
        <v>97</v>
      </c>
      <c r="Q26" s="69" t="s">
        <v>97</v>
      </c>
      <c r="R26" s="69" t="s">
        <v>97</v>
      </c>
      <c r="S26" s="99" t="s">
        <v>96</v>
      </c>
      <c r="T26" s="99"/>
      <c r="U26" s="69" t="s">
        <v>89</v>
      </c>
      <c r="V26" s="69" t="s">
        <v>106</v>
      </c>
      <c r="W26" s="69" t="s">
        <v>106</v>
      </c>
      <c r="X26" s="70"/>
      <c r="Z26" s="69" t="s">
        <v>99</v>
      </c>
      <c r="AA26" s="69" t="s">
        <v>97</v>
      </c>
      <c r="AB26" s="69" t="s">
        <v>97</v>
      </c>
      <c r="AC26" s="69" t="s">
        <v>97</v>
      </c>
      <c r="AD26" s="69" t="s">
        <v>97</v>
      </c>
      <c r="AE26" s="99" t="s">
        <v>96</v>
      </c>
      <c r="AF26" s="99"/>
      <c r="AG26" s="69" t="s">
        <v>89</v>
      </c>
      <c r="AH26" s="69" t="s">
        <v>106</v>
      </c>
      <c r="AI26" s="69" t="s">
        <v>106</v>
      </c>
      <c r="AJ26" s="70"/>
      <c r="AL26" s="69" t="s">
        <v>99</v>
      </c>
      <c r="AM26" s="69" t="s">
        <v>97</v>
      </c>
      <c r="AN26" s="69" t="s">
        <v>97</v>
      </c>
      <c r="AO26" s="69" t="s">
        <v>97</v>
      </c>
      <c r="AP26" s="69" t="s">
        <v>97</v>
      </c>
      <c r="AQ26" s="99" t="s">
        <v>96</v>
      </c>
      <c r="AR26" s="99"/>
      <c r="AS26" s="69" t="s">
        <v>89</v>
      </c>
      <c r="AT26" s="69" t="s">
        <v>106</v>
      </c>
      <c r="AU26" s="69" t="s">
        <v>106</v>
      </c>
      <c r="AV26" s="70"/>
      <c r="AX26" s="69" t="s">
        <v>99</v>
      </c>
      <c r="AY26" s="69" t="s">
        <v>97</v>
      </c>
      <c r="AZ26" s="69" t="s">
        <v>97</v>
      </c>
      <c r="BA26" s="69" t="s">
        <v>97</v>
      </c>
      <c r="BB26" s="69" t="s">
        <v>97</v>
      </c>
      <c r="BC26" s="99" t="s">
        <v>96</v>
      </c>
      <c r="BD26" s="99"/>
      <c r="BE26" s="69" t="s">
        <v>89</v>
      </c>
      <c r="BF26" s="69" t="s">
        <v>106</v>
      </c>
      <c r="BG26" s="69" t="s">
        <v>106</v>
      </c>
      <c r="BH26" s="70"/>
      <c r="BJ26" s="69" t="s">
        <v>99</v>
      </c>
      <c r="BK26" s="69" t="s">
        <v>97</v>
      </c>
      <c r="BL26" s="69" t="s">
        <v>97</v>
      </c>
      <c r="BM26" s="69" t="s">
        <v>97</v>
      </c>
      <c r="BN26" s="69" t="s">
        <v>97</v>
      </c>
      <c r="BO26" s="99" t="s">
        <v>96</v>
      </c>
      <c r="BP26" s="99"/>
      <c r="BQ26" s="69" t="s">
        <v>89</v>
      </c>
      <c r="BR26" s="69" t="s">
        <v>106</v>
      </c>
      <c r="BS26" s="69" t="s">
        <v>106</v>
      </c>
      <c r="BT26" s="70"/>
      <c r="BV26" s="69" t="s">
        <v>99</v>
      </c>
      <c r="BW26" s="69" t="s">
        <v>97</v>
      </c>
      <c r="BX26" s="69" t="s">
        <v>97</v>
      </c>
      <c r="BY26" s="69" t="s">
        <v>97</v>
      </c>
      <c r="BZ26" s="69" t="s">
        <v>97</v>
      </c>
      <c r="CA26" s="99" t="s">
        <v>96</v>
      </c>
      <c r="CB26" s="99"/>
      <c r="CC26" s="69" t="s">
        <v>89</v>
      </c>
      <c r="CD26" s="69" t="s">
        <v>106</v>
      </c>
      <c r="CE26" s="69" t="s">
        <v>106</v>
      </c>
      <c r="CF26" s="70"/>
    </row>
    <row r="27" spans="2:84" x14ac:dyDescent="0.25">
      <c r="B27" s="52" t="s">
        <v>98</v>
      </c>
      <c r="C27" s="52" t="s">
        <v>103</v>
      </c>
      <c r="D27" s="52" t="s">
        <v>93</v>
      </c>
      <c r="E27" s="53" t="s">
        <v>107</v>
      </c>
      <c r="F27" s="52" t="s">
        <v>101</v>
      </c>
      <c r="G27" s="53" t="s">
        <v>94</v>
      </c>
      <c r="H27" s="53" t="s">
        <v>95</v>
      </c>
      <c r="I27" s="53" t="s">
        <v>100</v>
      </c>
      <c r="J27" s="53" t="s">
        <v>104</v>
      </c>
      <c r="K27" s="53" t="s">
        <v>105</v>
      </c>
      <c r="L27" s="53" t="s">
        <v>92</v>
      </c>
      <c r="N27" s="52" t="s">
        <v>98</v>
      </c>
      <c r="O27" s="52" t="s">
        <v>103</v>
      </c>
      <c r="P27" s="52" t="s">
        <v>93</v>
      </c>
      <c r="Q27" s="53" t="s">
        <v>107</v>
      </c>
      <c r="R27" s="52" t="s">
        <v>101</v>
      </c>
      <c r="S27" s="53" t="s">
        <v>94</v>
      </c>
      <c r="T27" s="53" t="s">
        <v>95</v>
      </c>
      <c r="U27" s="53" t="s">
        <v>100</v>
      </c>
      <c r="V27" s="53" t="s">
        <v>104</v>
      </c>
      <c r="W27" s="53" t="s">
        <v>105</v>
      </c>
      <c r="X27" s="53" t="s">
        <v>92</v>
      </c>
      <c r="Z27" s="52" t="s">
        <v>98</v>
      </c>
      <c r="AA27" s="52" t="s">
        <v>103</v>
      </c>
      <c r="AB27" s="52" t="s">
        <v>93</v>
      </c>
      <c r="AC27" s="53" t="s">
        <v>107</v>
      </c>
      <c r="AD27" s="52" t="s">
        <v>101</v>
      </c>
      <c r="AE27" s="53" t="s">
        <v>94</v>
      </c>
      <c r="AF27" s="53" t="s">
        <v>95</v>
      </c>
      <c r="AG27" s="53" t="s">
        <v>100</v>
      </c>
      <c r="AH27" s="53" t="s">
        <v>104</v>
      </c>
      <c r="AI27" s="53" t="s">
        <v>105</v>
      </c>
      <c r="AJ27" s="53" t="s">
        <v>92</v>
      </c>
      <c r="AL27" s="52" t="s">
        <v>98</v>
      </c>
      <c r="AM27" s="52" t="s">
        <v>103</v>
      </c>
      <c r="AN27" s="52" t="s">
        <v>93</v>
      </c>
      <c r="AO27" s="53" t="s">
        <v>107</v>
      </c>
      <c r="AP27" s="52" t="s">
        <v>101</v>
      </c>
      <c r="AQ27" s="53" t="s">
        <v>94</v>
      </c>
      <c r="AR27" s="53" t="s">
        <v>95</v>
      </c>
      <c r="AS27" s="53" t="s">
        <v>100</v>
      </c>
      <c r="AT27" s="53" t="s">
        <v>104</v>
      </c>
      <c r="AU27" s="53" t="s">
        <v>105</v>
      </c>
      <c r="AV27" s="53" t="s">
        <v>92</v>
      </c>
      <c r="AX27" s="52" t="s">
        <v>98</v>
      </c>
      <c r="AY27" s="52" t="s">
        <v>103</v>
      </c>
      <c r="AZ27" s="52" t="s">
        <v>93</v>
      </c>
      <c r="BA27" s="53" t="s">
        <v>107</v>
      </c>
      <c r="BB27" s="52" t="s">
        <v>101</v>
      </c>
      <c r="BC27" s="53" t="s">
        <v>94</v>
      </c>
      <c r="BD27" s="53" t="s">
        <v>95</v>
      </c>
      <c r="BE27" s="53" t="s">
        <v>100</v>
      </c>
      <c r="BF27" s="53" t="s">
        <v>104</v>
      </c>
      <c r="BG27" s="53" t="s">
        <v>105</v>
      </c>
      <c r="BH27" s="53" t="s">
        <v>92</v>
      </c>
      <c r="BJ27" s="52" t="s">
        <v>98</v>
      </c>
      <c r="BK27" s="52" t="s">
        <v>103</v>
      </c>
      <c r="BL27" s="52" t="s">
        <v>93</v>
      </c>
      <c r="BM27" s="53" t="s">
        <v>107</v>
      </c>
      <c r="BN27" s="52" t="s">
        <v>101</v>
      </c>
      <c r="BO27" s="53" t="s">
        <v>94</v>
      </c>
      <c r="BP27" s="53" t="s">
        <v>95</v>
      </c>
      <c r="BQ27" s="53" t="s">
        <v>100</v>
      </c>
      <c r="BR27" s="53" t="s">
        <v>104</v>
      </c>
      <c r="BS27" s="53" t="s">
        <v>105</v>
      </c>
      <c r="BT27" s="53" t="s">
        <v>92</v>
      </c>
      <c r="BV27" s="52" t="s">
        <v>98</v>
      </c>
      <c r="BW27" s="52" t="s">
        <v>103</v>
      </c>
      <c r="BX27" s="52" t="s">
        <v>93</v>
      </c>
      <c r="BY27" s="53" t="s">
        <v>107</v>
      </c>
      <c r="BZ27" s="52" t="s">
        <v>101</v>
      </c>
      <c r="CA27" s="53" t="s">
        <v>94</v>
      </c>
      <c r="CB27" s="53" t="s">
        <v>95</v>
      </c>
      <c r="CC27" s="53" t="s">
        <v>100</v>
      </c>
      <c r="CD27" s="53" t="s">
        <v>104</v>
      </c>
      <c r="CE27" s="53" t="s">
        <v>105</v>
      </c>
      <c r="CF27" s="53" t="s">
        <v>92</v>
      </c>
    </row>
    <row r="28" spans="2:84" x14ac:dyDescent="0.25">
      <c r="B28" s="52">
        <v>30</v>
      </c>
      <c r="C28" s="52">
        <v>100</v>
      </c>
      <c r="D28" s="52">
        <v>1723.22175903846</v>
      </c>
      <c r="E28" s="66">
        <v>211.83124232863801</v>
      </c>
      <c r="F28" s="53">
        <v>149.82494036284299</v>
      </c>
      <c r="G28" s="55">
        <v>16.649999999999999</v>
      </c>
      <c r="H28" s="52">
        <v>1.2</v>
      </c>
      <c r="I28" s="53">
        <v>1000</v>
      </c>
      <c r="J28" s="63">
        <v>35364.434923941903</v>
      </c>
      <c r="K28" s="63">
        <v>1207153.7455772001</v>
      </c>
      <c r="L28" s="62">
        <f>(I28*1000+J28)/K28*100</f>
        <v>85.769061208428155</v>
      </c>
      <c r="N28" s="52">
        <v>30</v>
      </c>
      <c r="O28" s="52">
        <v>200</v>
      </c>
      <c r="P28" s="52">
        <v>1789.87019560311</v>
      </c>
      <c r="Q28" s="66">
        <v>297.94471795604602</v>
      </c>
      <c r="R28" s="53">
        <f>F28</f>
        <v>149.82494036284299</v>
      </c>
      <c r="S28" s="55">
        <v>16.649999999999999</v>
      </c>
      <c r="T28" s="52">
        <v>1.2</v>
      </c>
      <c r="U28" s="53">
        <v>1000</v>
      </c>
      <c r="V28" s="63">
        <v>85344.917939021296</v>
      </c>
      <c r="W28" s="63">
        <v>1257134.22807937</v>
      </c>
      <c r="X28" s="62">
        <f>(U28*1000+V28)/W28*100</f>
        <v>86.334847440849188</v>
      </c>
      <c r="Z28" s="52">
        <v>30</v>
      </c>
      <c r="AA28" s="52">
        <v>300</v>
      </c>
      <c r="AB28" s="52">
        <v>1856.7880022484701</v>
      </c>
      <c r="AC28" s="66">
        <v>384.04629881224901</v>
      </c>
      <c r="AD28" s="53">
        <f>F28</f>
        <v>149.82494036284299</v>
      </c>
      <c r="AE28" s="55">
        <v>16.649999999999999</v>
      </c>
      <c r="AF28" s="52">
        <v>1.2</v>
      </c>
      <c r="AG28" s="53">
        <v>1000</v>
      </c>
      <c r="AH28" s="63">
        <v>136325.76879574699</v>
      </c>
      <c r="AI28" s="63">
        <v>1308115.0781584801</v>
      </c>
      <c r="AJ28" s="62">
        <f>(AG28*1000+AH28)/AI28*100</f>
        <v>86.867416160008474</v>
      </c>
      <c r="AL28" s="52">
        <v>30</v>
      </c>
      <c r="AM28" s="52">
        <v>400</v>
      </c>
      <c r="AN28" s="52">
        <v>1924</v>
      </c>
      <c r="AO28" s="66">
        <v>470.12928326988401</v>
      </c>
      <c r="AP28" s="53">
        <f>F28</f>
        <v>149.82494036284299</v>
      </c>
      <c r="AQ28" s="55">
        <v>16.649999999999999</v>
      </c>
      <c r="AR28" s="52">
        <v>1.2</v>
      </c>
      <c r="AS28" s="53">
        <v>1000</v>
      </c>
      <c r="AT28" s="63">
        <v>188283.277056861</v>
      </c>
      <c r="AU28" s="63">
        <v>1360072.56617836</v>
      </c>
      <c r="AV28" s="62">
        <f>(AS28*1000+AT28)/AU28*100</f>
        <v>87.369108576007363</v>
      </c>
      <c r="AX28" s="52">
        <v>30</v>
      </c>
      <c r="AY28" s="52">
        <v>500</v>
      </c>
      <c r="AZ28" s="52">
        <v>1990.69345170476</v>
      </c>
      <c r="BA28" s="66">
        <v>556.189103235164</v>
      </c>
      <c r="BB28" s="53">
        <f>F28</f>
        <v>149.82494036284299</v>
      </c>
      <c r="BC28" s="55">
        <v>16.649999999999999</v>
      </c>
      <c r="BD28" s="52">
        <v>1.2</v>
      </c>
      <c r="BE28" s="53">
        <v>1000</v>
      </c>
      <c r="BF28" s="63">
        <v>241181.27313861801</v>
      </c>
      <c r="BG28" s="63">
        <v>1412970.5829851199</v>
      </c>
      <c r="BH28" s="62">
        <f>(BE28*1000+BF28)/BG28*100</f>
        <v>87.841975486597164</v>
      </c>
      <c r="BJ28" s="52">
        <v>30</v>
      </c>
      <c r="BK28" s="52">
        <v>600</v>
      </c>
      <c r="BL28" s="52">
        <v>2057.2642316785</v>
      </c>
      <c r="BM28" s="66">
        <v>642.222585947433</v>
      </c>
      <c r="BN28" s="53">
        <f>F28</f>
        <v>149.82494036284299</v>
      </c>
      <c r="BO28" s="55">
        <v>16.649999999999999</v>
      </c>
      <c r="BP28" s="52">
        <v>1.2</v>
      </c>
      <c r="BQ28" s="53">
        <v>1000</v>
      </c>
      <c r="BR28" s="63">
        <v>294975.34491213999</v>
      </c>
      <c r="BS28" s="63">
        <v>1466764.6546505501</v>
      </c>
      <c r="BT28" s="62">
        <f>(BQ28*1000+BR28)/BS28*100</f>
        <v>88.287875004777902</v>
      </c>
      <c r="BV28" s="52">
        <v>30</v>
      </c>
      <c r="BW28" s="52">
        <v>700</v>
      </c>
      <c r="BX28" s="52">
        <v>2123.2891758466299</v>
      </c>
      <c r="BY28" s="66">
        <v>728.22516979511795</v>
      </c>
      <c r="BZ28" s="53">
        <f>F28</f>
        <v>149.82494036284299</v>
      </c>
      <c r="CA28" s="55">
        <v>16.649999999999999</v>
      </c>
      <c r="CB28" s="52">
        <v>1.2</v>
      </c>
      <c r="CC28" s="53">
        <v>1000</v>
      </c>
      <c r="CD28" s="63">
        <v>349615.04715922597</v>
      </c>
      <c r="CE28" s="63">
        <v>1521404.3567759399</v>
      </c>
      <c r="CF28" s="62">
        <f>(CC28*1000+CD28)/CE28*100</f>
        <v>88.708504162512142</v>
      </c>
    </row>
    <row r="29" spans="2:84" x14ac:dyDescent="0.25">
      <c r="B29" s="52">
        <v>30</v>
      </c>
      <c r="C29" s="52">
        <v>100</v>
      </c>
      <c r="D29" s="52">
        <v>1723.22175903846</v>
      </c>
      <c r="E29" s="52">
        <v>343.63061221227798</v>
      </c>
      <c r="F29" s="53">
        <v>283.526379906388</v>
      </c>
      <c r="G29" s="55">
        <v>18.037223340740741</v>
      </c>
      <c r="H29" s="52">
        <v>1.3</v>
      </c>
      <c r="I29" s="53">
        <v>1000</v>
      </c>
      <c r="J29" s="63">
        <v>38316.781142817701</v>
      </c>
      <c r="K29" s="63">
        <v>1307753.41751255</v>
      </c>
      <c r="L29" s="62">
        <f>(I29*1000+J29)/K29*100</f>
        <v>79.396984724978054</v>
      </c>
      <c r="N29" s="52">
        <v>30</v>
      </c>
      <c r="O29" s="52">
        <v>200</v>
      </c>
      <c r="P29" s="52">
        <v>1789.87019560311</v>
      </c>
      <c r="Q29" s="52">
        <v>427.20191155123501</v>
      </c>
      <c r="R29" s="53">
        <f t="shared" ref="R29:R31" si="30">F29</f>
        <v>283.526379906388</v>
      </c>
      <c r="S29" s="55">
        <v>18.037223340740741</v>
      </c>
      <c r="T29" s="52">
        <v>1.3</v>
      </c>
      <c r="U29" s="53">
        <v>1000</v>
      </c>
      <c r="V29" s="63">
        <v>92469.808986182805</v>
      </c>
      <c r="W29" s="63">
        <v>1361906.44479948</v>
      </c>
      <c r="X29" s="62">
        <f t="shared" ref="X29:X31" si="31">(U29*1000+V29)/W29*100</f>
        <v>80.216215523308747</v>
      </c>
      <c r="Z29" s="52">
        <v>30</v>
      </c>
      <c r="AA29" s="52">
        <v>300</v>
      </c>
      <c r="AB29" s="52">
        <v>1856.7880022484701</v>
      </c>
      <c r="AC29" s="52">
        <v>510.910499043512</v>
      </c>
      <c r="AD29" s="53">
        <f t="shared" ref="AD29:AD31" si="32">F29</f>
        <v>283.526379906388</v>
      </c>
      <c r="AE29" s="55">
        <v>18.037223340740741</v>
      </c>
      <c r="AF29" s="52">
        <v>1.3</v>
      </c>
      <c r="AG29" s="53">
        <v>1000</v>
      </c>
      <c r="AH29" s="63">
        <v>147706.71886338</v>
      </c>
      <c r="AI29" s="63">
        <v>1417143.35383301</v>
      </c>
      <c r="AJ29" s="62">
        <f t="shared" ref="AJ29:AJ31" si="33">(AG29*1000+AH29)/AI29*100</f>
        <v>80.987340889623269</v>
      </c>
      <c r="AL29" s="52">
        <v>30</v>
      </c>
      <c r="AM29" s="52">
        <v>400</v>
      </c>
      <c r="AN29" s="52">
        <v>1924</v>
      </c>
      <c r="AO29" s="52">
        <v>594.765739402338</v>
      </c>
      <c r="AP29" s="53">
        <f t="shared" ref="AP29:AP31" si="34">F29</f>
        <v>283.526379906388</v>
      </c>
      <c r="AQ29" s="55">
        <v>18.037223340740741</v>
      </c>
      <c r="AR29" s="52">
        <v>1.3</v>
      </c>
      <c r="AS29" s="53">
        <v>1000</v>
      </c>
      <c r="AT29" s="63">
        <v>204001.82090725299</v>
      </c>
      <c r="AU29" s="63">
        <v>1473409.01235894</v>
      </c>
      <c r="AV29" s="62">
        <f>(AS29*1000+AT29)/AU29*100</f>
        <v>81.715383224080881</v>
      </c>
      <c r="AX29" s="52">
        <v>30</v>
      </c>
      <c r="AY29" s="52">
        <v>500</v>
      </c>
      <c r="AZ29" s="52">
        <v>1990.69345170476</v>
      </c>
      <c r="BA29" s="52">
        <v>678.76830133924898</v>
      </c>
      <c r="BB29" s="53">
        <f t="shared" ref="BB29:BB31" si="35">F29</f>
        <v>283.526379906388</v>
      </c>
      <c r="BC29" s="55">
        <v>18.037223340740741</v>
      </c>
      <c r="BD29" s="52">
        <v>1.3</v>
      </c>
      <c r="BE29" s="53">
        <v>1000</v>
      </c>
      <c r="BF29" s="63">
        <v>261315.92597121099</v>
      </c>
      <c r="BG29" s="63">
        <v>1530752.56146653</v>
      </c>
      <c r="BH29" s="62">
        <f t="shared" ref="BH29:BH31" si="36">(BE29*1000+BF29)/BG29*100</f>
        <v>82.398420079259154</v>
      </c>
      <c r="BJ29" s="52">
        <v>30</v>
      </c>
      <c r="BK29" s="52">
        <v>600</v>
      </c>
      <c r="BL29" s="52">
        <v>2057.2642316785</v>
      </c>
      <c r="BM29" s="52">
        <v>762.91162825245704</v>
      </c>
      <c r="BN29" s="53">
        <f t="shared" ref="BN29:BN31" si="37">F29</f>
        <v>283.526379906388</v>
      </c>
      <c r="BO29" s="55">
        <v>18.037223340740741</v>
      </c>
      <c r="BP29" s="52">
        <v>1.3</v>
      </c>
      <c r="BQ29" s="53">
        <v>1000</v>
      </c>
      <c r="BR29" s="63">
        <v>319600.91424714797</v>
      </c>
      <c r="BS29" s="63">
        <v>1589037.5496256901</v>
      </c>
      <c r="BT29" s="62">
        <f t="shared" ref="BT29:BT31" si="38">(BQ29*1000+BR29)/BS29*100</f>
        <v>83.044035967431356</v>
      </c>
      <c r="BV29" s="52">
        <v>30</v>
      </c>
      <c r="BW29" s="52">
        <v>700</v>
      </c>
      <c r="BX29" s="52">
        <v>2123.2891758466299</v>
      </c>
      <c r="BY29" s="52">
        <v>847.181274914293</v>
      </c>
      <c r="BZ29" s="53">
        <f t="shared" ref="BZ29:BZ31" si="39">F29</f>
        <v>283.526379906388</v>
      </c>
      <c r="CA29" s="55">
        <v>18.037223340740741</v>
      </c>
      <c r="CB29" s="52">
        <v>1.3</v>
      </c>
      <c r="CC29" s="53">
        <v>1000</v>
      </c>
      <c r="CD29" s="63">
        <v>378802.12917432102</v>
      </c>
      <c r="CE29" s="63">
        <v>1648238.7644211601</v>
      </c>
      <c r="CF29" s="62">
        <f t="shared" ref="CF29:CF31" si="40">(CC29*1000+CD29)/CE29*100</f>
        <v>83.653057975404323</v>
      </c>
    </row>
    <row r="30" spans="2:84" x14ac:dyDescent="0.25">
      <c r="B30" s="52">
        <v>30</v>
      </c>
      <c r="C30" s="52">
        <v>100</v>
      </c>
      <c r="D30" s="52">
        <v>1723.22175903846</v>
      </c>
      <c r="E30" s="52">
        <v>626.95592855936604</v>
      </c>
      <c r="F30" s="53">
        <v>570.39256926302596</v>
      </c>
      <c r="G30" s="55">
        <v>22.2</v>
      </c>
      <c r="H30" s="52">
        <v>1.6</v>
      </c>
      <c r="I30" s="53">
        <v>1000</v>
      </c>
      <c r="J30" s="63">
        <v>47152.579898589298</v>
      </c>
      <c r="K30" s="63">
        <v>1609538.3274362599</v>
      </c>
      <c r="L30" s="62">
        <f>(I30*1000+J30)/K30*100</f>
        <v>65.059188839978589</v>
      </c>
      <c r="N30" s="52">
        <v>30</v>
      </c>
      <c r="O30" s="52">
        <v>200</v>
      </c>
      <c r="P30" s="52">
        <v>1789.87019560311</v>
      </c>
      <c r="Q30" s="52">
        <v>705.89066958970204</v>
      </c>
      <c r="R30" s="53">
        <f t="shared" si="30"/>
        <v>570.39256926302596</v>
      </c>
      <c r="S30" s="55">
        <v>22.2</v>
      </c>
      <c r="T30" s="52">
        <v>1.6</v>
      </c>
      <c r="U30" s="53">
        <v>1000</v>
      </c>
      <c r="V30" s="63">
        <v>113793.223918695</v>
      </c>
      <c r="W30" s="63">
        <v>1676178.9707724999</v>
      </c>
      <c r="X30" s="62">
        <f t="shared" si="31"/>
        <v>66.448347302996027</v>
      </c>
      <c r="Z30" s="52">
        <v>30</v>
      </c>
      <c r="AA30" s="52">
        <v>300</v>
      </c>
      <c r="AB30" s="52">
        <v>1856.7880022484701</v>
      </c>
      <c r="AC30" s="52">
        <v>785.29364135983997</v>
      </c>
      <c r="AD30" s="53">
        <f t="shared" si="32"/>
        <v>570.39256926302596</v>
      </c>
      <c r="AE30" s="55">
        <v>22.2</v>
      </c>
      <c r="AF30" s="52">
        <v>1.6</v>
      </c>
      <c r="AG30" s="53">
        <v>1000</v>
      </c>
      <c r="AH30" s="63">
        <v>181767.69172766301</v>
      </c>
      <c r="AI30" s="63">
        <v>1744153.4375446399</v>
      </c>
      <c r="AJ30" s="62">
        <f t="shared" si="33"/>
        <v>67.75594774455827</v>
      </c>
      <c r="AL30" s="52">
        <v>30</v>
      </c>
      <c r="AM30" s="52">
        <v>400</v>
      </c>
      <c r="AN30" s="52">
        <v>1924</v>
      </c>
      <c r="AO30" s="52">
        <v>865.16623992098698</v>
      </c>
      <c r="AP30" s="53">
        <f t="shared" si="34"/>
        <v>570.39256926302596</v>
      </c>
      <c r="AQ30" s="55">
        <v>22.2</v>
      </c>
      <c r="AR30" s="52">
        <v>1.6</v>
      </c>
      <c r="AS30" s="53">
        <v>1000</v>
      </c>
      <c r="AT30" s="63">
        <v>251044.369409148</v>
      </c>
      <c r="AU30" s="63">
        <v>1813430.1170504501</v>
      </c>
      <c r="AV30" s="62">
        <f>(AS30*1000+AT30)/AU30*100</f>
        <v>68.987735322493478</v>
      </c>
      <c r="AX30" s="52">
        <v>30</v>
      </c>
      <c r="AY30" s="52">
        <v>500</v>
      </c>
      <c r="AZ30" s="52">
        <v>1990.69345170476</v>
      </c>
      <c r="BA30" s="52">
        <v>945.48952471546295</v>
      </c>
      <c r="BB30" s="53">
        <f t="shared" si="35"/>
        <v>570.39256926302596</v>
      </c>
      <c r="BC30" s="55">
        <v>22.2</v>
      </c>
      <c r="BD30" s="52">
        <v>1.6</v>
      </c>
      <c r="BE30" s="53">
        <v>1000</v>
      </c>
      <c r="BF30" s="63">
        <v>321575.03085149103</v>
      </c>
      <c r="BG30" s="63">
        <v>1883960.7773134899</v>
      </c>
      <c r="BH30" s="62">
        <f t="shared" si="36"/>
        <v>70.148755046590964</v>
      </c>
      <c r="BJ30" s="52">
        <v>30</v>
      </c>
      <c r="BK30" s="52">
        <v>600</v>
      </c>
      <c r="BL30" s="52">
        <v>2057.2642316785</v>
      </c>
      <c r="BM30" s="52">
        <v>1026.2272374449101</v>
      </c>
      <c r="BN30" s="53">
        <f t="shared" si="37"/>
        <v>570.39256926302596</v>
      </c>
      <c r="BO30" s="55">
        <v>22.2</v>
      </c>
      <c r="BP30" s="52">
        <v>1.6</v>
      </c>
      <c r="BQ30" s="53">
        <v>1000</v>
      </c>
      <c r="BR30" s="63">
        <v>393300.45988285402</v>
      </c>
      <c r="BS30" s="63">
        <v>1955686.2062007401</v>
      </c>
      <c r="BT30" s="62">
        <f t="shared" si="38"/>
        <v>71.243559189875455</v>
      </c>
      <c r="BV30" s="52">
        <v>30</v>
      </c>
      <c r="BW30" s="52">
        <v>700</v>
      </c>
      <c r="BX30" s="52">
        <v>2123.2891758466299</v>
      </c>
      <c r="BY30" s="52">
        <v>1107.32682403381</v>
      </c>
      <c r="BZ30" s="53">
        <f t="shared" si="39"/>
        <v>570.39256926302596</v>
      </c>
      <c r="CA30" s="55">
        <v>22.2</v>
      </c>
      <c r="CB30" s="52">
        <v>1.6</v>
      </c>
      <c r="CC30" s="53">
        <v>1000</v>
      </c>
      <c r="CD30" s="63">
        <v>466153.39621230197</v>
      </c>
      <c r="CE30" s="63">
        <v>2028539.1423679299</v>
      </c>
      <c r="CF30" s="62">
        <f t="shared" si="40"/>
        <v>72.276317749572698</v>
      </c>
    </row>
    <row r="31" spans="2:84" x14ac:dyDescent="0.25">
      <c r="B31" s="52">
        <v>30</v>
      </c>
      <c r="C31" s="52">
        <v>100</v>
      </c>
      <c r="D31" s="52">
        <v>1723.22175903846</v>
      </c>
      <c r="E31" s="52">
        <v>758.06714528069801</v>
      </c>
      <c r="F31" s="53">
        <v>702.84649935278799</v>
      </c>
      <c r="G31" s="55">
        <v>24.97</v>
      </c>
      <c r="H31" s="52">
        <v>1.8</v>
      </c>
      <c r="I31" s="53">
        <v>1000</v>
      </c>
      <c r="J31" s="63">
        <v>53036.032435485402</v>
      </c>
      <c r="K31" s="63">
        <v>1810723.5654273599</v>
      </c>
      <c r="L31" s="62">
        <f>(I31*1000+J31)/K31*100</f>
        <v>58.155538070050575</v>
      </c>
      <c r="N31" s="52">
        <v>30</v>
      </c>
      <c r="O31" s="52">
        <v>200</v>
      </c>
      <c r="P31" s="52">
        <v>1789.87019560311</v>
      </c>
      <c r="Q31" s="52">
        <v>835.25089096093302</v>
      </c>
      <c r="R31" s="53">
        <f t="shared" si="30"/>
        <v>702.84649935278799</v>
      </c>
      <c r="S31" s="55">
        <v>24.97</v>
      </c>
      <c r="T31" s="52">
        <v>1.8</v>
      </c>
      <c r="U31" s="53">
        <v>1000</v>
      </c>
      <c r="V31" s="63">
        <v>127991.747804046</v>
      </c>
      <c r="W31" s="63">
        <v>1885679.2800247699</v>
      </c>
      <c r="X31" s="62">
        <f t="shared" si="31"/>
        <v>59.818854656409485</v>
      </c>
      <c r="Z31" s="52">
        <v>30</v>
      </c>
      <c r="AA31" s="52">
        <v>300</v>
      </c>
      <c r="AB31" s="52">
        <v>1856.7880022484701</v>
      </c>
      <c r="AC31" s="52">
        <v>913.02554236696903</v>
      </c>
      <c r="AD31" s="53">
        <f t="shared" si="32"/>
        <v>702.84649935278799</v>
      </c>
      <c r="AE31" s="55">
        <v>24.97</v>
      </c>
      <c r="AF31" s="52">
        <v>1.8</v>
      </c>
      <c r="AG31" s="53">
        <v>1000</v>
      </c>
      <c r="AH31" s="63">
        <v>204447.71452431299</v>
      </c>
      <c r="AI31" s="63">
        <v>1962135.2455821</v>
      </c>
      <c r="AJ31" s="62">
        <f t="shared" si="33"/>
        <v>61.384541011442536</v>
      </c>
      <c r="AL31" s="52">
        <v>30</v>
      </c>
      <c r="AM31" s="52">
        <v>400</v>
      </c>
      <c r="AN31" s="52">
        <v>1924</v>
      </c>
      <c r="AO31" s="52">
        <v>991.37894023754802</v>
      </c>
      <c r="AP31" s="53">
        <f t="shared" si="34"/>
        <v>702.84649935278799</v>
      </c>
      <c r="AQ31" s="55">
        <v>24.97</v>
      </c>
      <c r="AR31" s="52">
        <v>1.8</v>
      </c>
      <c r="AS31" s="53">
        <v>1000</v>
      </c>
      <c r="AT31" s="63">
        <v>282368.37406065001</v>
      </c>
      <c r="AU31" s="63">
        <v>2040055.9071657599</v>
      </c>
      <c r="AV31" s="62">
        <f>(AS31*1000+AT31)/AU31*100</f>
        <v>62.859472113302928</v>
      </c>
      <c r="AX31" s="52">
        <v>30</v>
      </c>
      <c r="AY31" s="52">
        <v>500</v>
      </c>
      <c r="AZ31" s="52">
        <v>1990.69345170476</v>
      </c>
      <c r="BA31" s="52">
        <v>1070.2750266553301</v>
      </c>
      <c r="BB31" s="53">
        <f t="shared" si="35"/>
        <v>702.84649935278799</v>
      </c>
      <c r="BC31" s="55">
        <v>24.97</v>
      </c>
      <c r="BD31" s="52">
        <v>1.8</v>
      </c>
      <c r="BE31" s="53">
        <v>1000</v>
      </c>
      <c r="BF31" s="63">
        <v>361699.482899177</v>
      </c>
      <c r="BG31" s="63">
        <v>2119387.0146789099</v>
      </c>
      <c r="BH31" s="62">
        <f t="shared" si="36"/>
        <v>64.249685096116167</v>
      </c>
      <c r="BJ31" s="52">
        <v>30</v>
      </c>
      <c r="BK31" s="52">
        <v>600</v>
      </c>
      <c r="BL31" s="52">
        <v>2057.2642316785</v>
      </c>
      <c r="BM31" s="52">
        <v>1149.66006105514</v>
      </c>
      <c r="BN31" s="53">
        <f t="shared" si="37"/>
        <v>702.84649935278799</v>
      </c>
      <c r="BO31" s="55">
        <v>24.97</v>
      </c>
      <c r="BP31" s="52">
        <v>1.8</v>
      </c>
      <c r="BQ31" s="53">
        <v>1000</v>
      </c>
      <c r="BR31" s="63">
        <v>442374.43618355202</v>
      </c>
      <c r="BS31" s="63">
        <v>2200061.96780142</v>
      </c>
      <c r="BT31" s="62">
        <f t="shared" si="38"/>
        <v>65.560627713816388</v>
      </c>
      <c r="BV31" s="52">
        <v>30</v>
      </c>
      <c r="BW31" s="52">
        <v>700</v>
      </c>
      <c r="BX31" s="52">
        <v>2123.2891758466299</v>
      </c>
      <c r="BY31" s="52">
        <v>1229.45506754082</v>
      </c>
      <c r="BZ31" s="53">
        <f t="shared" si="39"/>
        <v>702.84649935278799</v>
      </c>
      <c r="CA31" s="55">
        <v>24.97</v>
      </c>
      <c r="CB31" s="52">
        <v>1.8</v>
      </c>
      <c r="CC31" s="53">
        <v>1000</v>
      </c>
      <c r="CD31" s="63">
        <v>524317.58123518794</v>
      </c>
      <c r="CE31" s="63">
        <v>2282005.11267028</v>
      </c>
      <c r="CF31" s="62">
        <f t="shared" si="40"/>
        <v>66.797290364153184</v>
      </c>
    </row>
  </sheetData>
  <mergeCells count="28">
    <mergeCell ref="AQ18:AR18"/>
    <mergeCell ref="AQ26:AR26"/>
    <mergeCell ref="G2:H2"/>
    <mergeCell ref="G10:H10"/>
    <mergeCell ref="G18:H18"/>
    <mergeCell ref="G26:H26"/>
    <mergeCell ref="BC2:BD2"/>
    <mergeCell ref="BC18:BD18"/>
    <mergeCell ref="S2:T2"/>
    <mergeCell ref="AE2:AF2"/>
    <mergeCell ref="AQ2:AR2"/>
    <mergeCell ref="S10:T10"/>
    <mergeCell ref="S18:T18"/>
    <mergeCell ref="S26:T26"/>
    <mergeCell ref="AE10:AF10"/>
    <mergeCell ref="AE18:AF18"/>
    <mergeCell ref="AE26:AF26"/>
    <mergeCell ref="AQ10:AR10"/>
    <mergeCell ref="BO2:BP2"/>
    <mergeCell ref="CA2:CB2"/>
    <mergeCell ref="BC10:BD10"/>
    <mergeCell ref="BO10:BP10"/>
    <mergeCell ref="CA10:CB10"/>
    <mergeCell ref="BO18:BP18"/>
    <mergeCell ref="CA18:CB18"/>
    <mergeCell ref="BC26:BD26"/>
    <mergeCell ref="BO26:BP26"/>
    <mergeCell ref="CA26:C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topLeftCell="A44" zoomScale="60" zoomScaleNormal="35" workbookViewId="0">
      <selection activeCell="N65" sqref="N65"/>
    </sheetView>
  </sheetViews>
  <sheetFormatPr baseColWidth="10" defaultRowHeight="15" x14ac:dyDescent="0.25"/>
  <cols>
    <col min="1" max="1" width="11.42578125" style="5"/>
    <col min="2" max="2" width="13" customWidth="1"/>
    <col min="3" max="3" width="15.5703125" bestFit="1" customWidth="1"/>
    <col min="4" max="4" width="13.7109375" bestFit="1" customWidth="1"/>
    <col min="5" max="5" width="14.5703125" customWidth="1"/>
    <col min="6" max="6" width="11.42578125" customWidth="1"/>
    <col min="7" max="7" width="12" customWidth="1"/>
    <col min="8" max="10" width="11.42578125" customWidth="1"/>
    <col min="11" max="11" width="12" customWidth="1"/>
    <col min="12" max="12" width="11.42578125" style="5"/>
    <col min="13" max="13" width="12.85546875" customWidth="1"/>
    <col min="14" max="14" width="15.5703125" customWidth="1"/>
    <col min="15" max="15" width="13.7109375" customWidth="1"/>
    <col min="16" max="16" width="15.42578125" customWidth="1"/>
    <col min="17" max="18" width="12" customWidth="1"/>
    <col min="19" max="19" width="12.5703125" customWidth="1"/>
    <col min="20" max="22" width="12" customWidth="1"/>
    <col min="23" max="23" width="11.42578125" style="5"/>
    <col min="24" max="24" width="12.42578125" customWidth="1"/>
    <col min="25" max="25" width="12" customWidth="1"/>
    <col min="26" max="26" width="13.7109375" bestFit="1" customWidth="1"/>
    <col min="27" max="27" width="14" customWidth="1"/>
    <col min="28" max="33" width="12" customWidth="1"/>
    <col min="34" max="34" width="11.42578125" style="5"/>
    <col min="35" max="35" width="10.85546875" customWidth="1"/>
    <col min="36" max="37" width="12" customWidth="1"/>
    <col min="38" max="38" width="12.5703125" customWidth="1"/>
    <col min="39" max="43" width="11.42578125" customWidth="1"/>
    <col min="45" max="57" width="11.42578125" customWidth="1"/>
  </cols>
  <sheetData>
    <row r="1" spans="2:44" x14ac:dyDescent="0.25">
      <c r="B1" s="102" t="s">
        <v>124</v>
      </c>
      <c r="C1" s="102"/>
      <c r="D1" s="102"/>
      <c r="E1" s="102"/>
      <c r="F1" s="102"/>
      <c r="G1" s="102"/>
      <c r="H1" s="102"/>
      <c r="I1" s="102"/>
      <c r="J1" s="102"/>
      <c r="K1" s="102"/>
      <c r="M1" s="102" t="s">
        <v>125</v>
      </c>
      <c r="N1" s="102"/>
      <c r="O1" s="102"/>
      <c r="P1" s="102"/>
      <c r="Q1" s="102"/>
      <c r="R1" s="102"/>
      <c r="S1" s="102"/>
      <c r="T1" s="102"/>
      <c r="U1" s="102"/>
      <c r="V1" s="102"/>
      <c r="X1" s="102" t="s">
        <v>126</v>
      </c>
      <c r="Y1" s="102"/>
      <c r="Z1" s="102"/>
      <c r="AA1" s="102"/>
      <c r="AB1" s="102"/>
      <c r="AC1" s="102"/>
      <c r="AD1" s="102"/>
      <c r="AE1" s="102"/>
      <c r="AF1" s="102"/>
      <c r="AG1" s="102"/>
      <c r="AI1" s="102" t="s">
        <v>127</v>
      </c>
      <c r="AJ1" s="102"/>
      <c r="AK1" s="102"/>
      <c r="AL1" s="102"/>
      <c r="AM1" s="102"/>
      <c r="AN1" s="102"/>
      <c r="AO1" s="102"/>
      <c r="AP1" s="102"/>
      <c r="AQ1" s="102"/>
      <c r="AR1" s="102"/>
    </row>
    <row r="2" spans="2:44" ht="49.5" customHeight="1" x14ac:dyDescent="0.25">
      <c r="B2" s="71" t="s">
        <v>114</v>
      </c>
      <c r="C2" s="71" t="s">
        <v>115</v>
      </c>
      <c r="D2" s="71" t="s">
        <v>116</v>
      </c>
      <c r="E2" s="71" t="s">
        <v>117</v>
      </c>
      <c r="F2" s="71" t="s">
        <v>118</v>
      </c>
      <c r="G2" s="71" t="s">
        <v>119</v>
      </c>
      <c r="H2" s="71" t="s">
        <v>120</v>
      </c>
      <c r="I2" s="71" t="s">
        <v>121</v>
      </c>
      <c r="J2" s="71" t="s">
        <v>122</v>
      </c>
      <c r="K2" s="71" t="s">
        <v>123</v>
      </c>
      <c r="M2" s="71" t="s">
        <v>114</v>
      </c>
      <c r="N2" s="71" t="s">
        <v>115</v>
      </c>
      <c r="O2" s="71" t="s">
        <v>116</v>
      </c>
      <c r="P2" s="71" t="s">
        <v>117</v>
      </c>
      <c r="Q2" s="71" t="s">
        <v>118</v>
      </c>
      <c r="R2" s="71" t="s">
        <v>119</v>
      </c>
      <c r="S2" s="71" t="s">
        <v>120</v>
      </c>
      <c r="T2" s="71" t="s">
        <v>121</v>
      </c>
      <c r="U2" s="71" t="s">
        <v>122</v>
      </c>
      <c r="V2" s="71" t="s">
        <v>123</v>
      </c>
      <c r="X2" s="71" t="s">
        <v>114</v>
      </c>
      <c r="Y2" s="71" t="s">
        <v>115</v>
      </c>
      <c r="Z2" s="71" t="s">
        <v>116</v>
      </c>
      <c r="AA2" s="71" t="s">
        <v>117</v>
      </c>
      <c r="AB2" s="71" t="s">
        <v>118</v>
      </c>
      <c r="AC2" s="71" t="s">
        <v>119</v>
      </c>
      <c r="AD2" s="71" t="s">
        <v>120</v>
      </c>
      <c r="AE2" s="71" t="s">
        <v>121</v>
      </c>
      <c r="AF2" s="71" t="s">
        <v>122</v>
      </c>
      <c r="AG2" s="71" t="s">
        <v>123</v>
      </c>
      <c r="AI2" s="71" t="s">
        <v>114</v>
      </c>
      <c r="AJ2" s="71" t="s">
        <v>115</v>
      </c>
      <c r="AK2" s="71" t="s">
        <v>116</v>
      </c>
      <c r="AL2" s="71" t="s">
        <v>117</v>
      </c>
      <c r="AM2" s="71" t="s">
        <v>118</v>
      </c>
      <c r="AN2" s="71" t="s">
        <v>119</v>
      </c>
      <c r="AO2" s="71" t="s">
        <v>120</v>
      </c>
      <c r="AP2" s="71" t="s">
        <v>121</v>
      </c>
      <c r="AQ2" s="71" t="s">
        <v>122</v>
      </c>
      <c r="AR2" s="71" t="s">
        <v>123</v>
      </c>
    </row>
    <row r="3" spans="2:44" x14ac:dyDescent="0.25">
      <c r="B3" s="72">
        <v>100</v>
      </c>
      <c r="C3" s="73">
        <v>2051</v>
      </c>
      <c r="D3" s="73">
        <v>238.249636082949</v>
      </c>
      <c r="E3" s="74">
        <v>178.8</v>
      </c>
      <c r="F3" s="73">
        <v>12.811254603174602</v>
      </c>
      <c r="G3" s="72">
        <v>1.2</v>
      </c>
      <c r="H3" s="72">
        <v>1000</v>
      </c>
      <c r="I3" s="75">
        <v>27210.436985622899</v>
      </c>
      <c r="J3" s="75">
        <v>1200878.99943828</v>
      </c>
      <c r="K3" s="76">
        <f t="shared" ref="K3:K9" si="0">(H3*1000+I3)/J3*100</f>
        <v>85.538213047784836</v>
      </c>
      <c r="M3" s="72">
        <v>100</v>
      </c>
      <c r="N3" s="73">
        <v>1931.67614644686</v>
      </c>
      <c r="O3" s="73">
        <v>229.11913859991699</v>
      </c>
      <c r="P3" s="74">
        <v>168.682872584823</v>
      </c>
      <c r="Q3" s="73">
        <v>14.090751276190476</v>
      </c>
      <c r="R3" s="72">
        <v>1.2</v>
      </c>
      <c r="S3" s="72">
        <v>1000</v>
      </c>
      <c r="T3" s="75">
        <v>29927.020305005499</v>
      </c>
      <c r="U3" s="75">
        <v>1203542.7327686199</v>
      </c>
      <c r="V3" s="76">
        <f>(S3*1000+T3)/U3*100</f>
        <v>85.574611707867632</v>
      </c>
      <c r="X3" s="72">
        <v>100</v>
      </c>
      <c r="Y3" s="73">
        <v>1822.1151297128599</v>
      </c>
      <c r="Z3" s="73">
        <v>219.857209306752</v>
      </c>
      <c r="AA3" s="74">
        <v>158.57889940277099</v>
      </c>
      <c r="AB3" s="73">
        <v>15.370247949206348</v>
      </c>
      <c r="AC3" s="72">
        <v>1.2</v>
      </c>
      <c r="AD3" s="72">
        <v>1000</v>
      </c>
      <c r="AE3" s="75">
        <v>32645.727614473799</v>
      </c>
      <c r="AF3" s="75">
        <v>1205348.20694205</v>
      </c>
      <c r="AG3" s="76">
        <f t="shared" ref="AG3:AG15" si="1">(AD3*1000+AE3)/AF3*100</f>
        <v>85.671984383191656</v>
      </c>
      <c r="AI3" s="72">
        <v>100</v>
      </c>
      <c r="AJ3" s="73">
        <v>1723.22175903846</v>
      </c>
      <c r="AK3" s="73">
        <v>211.83124232863801</v>
      </c>
      <c r="AL3" s="74">
        <v>149.82494036284299</v>
      </c>
      <c r="AM3" s="73">
        <v>16.649999999999999</v>
      </c>
      <c r="AN3" s="72">
        <v>1.2</v>
      </c>
      <c r="AO3" s="72">
        <v>1000</v>
      </c>
      <c r="AP3" s="75">
        <v>35364.434923941903</v>
      </c>
      <c r="AQ3" s="75">
        <v>1207153.7455772001</v>
      </c>
      <c r="AR3" s="76">
        <f t="shared" ref="AR3:AR30" si="2">(AO3*1000+AP3)/AQ3*100</f>
        <v>85.769061208428155</v>
      </c>
    </row>
    <row r="4" spans="2:44" x14ac:dyDescent="0.25">
      <c r="B4" s="72">
        <v>200</v>
      </c>
      <c r="C4" s="73">
        <v>2107.3025162171798</v>
      </c>
      <c r="D4" s="73">
        <v>320.85585153129199</v>
      </c>
      <c r="E4" s="74">
        <v>178.8</v>
      </c>
      <c r="F4" s="73">
        <v>12.811254603174602</v>
      </c>
      <c r="G4" s="72">
        <v>1.2</v>
      </c>
      <c r="H4" s="72">
        <v>1000</v>
      </c>
      <c r="I4" s="75">
        <v>65666.891514522606</v>
      </c>
      <c r="J4" s="75">
        <v>1239335.4583886201</v>
      </c>
      <c r="K4" s="76">
        <f t="shared" si="0"/>
        <v>85.986960536100469</v>
      </c>
      <c r="M4" s="72">
        <v>200</v>
      </c>
      <c r="N4" s="73">
        <v>1992</v>
      </c>
      <c r="O4" s="73">
        <v>313.05558578557799</v>
      </c>
      <c r="P4" s="74">
        <v>168.682872584823</v>
      </c>
      <c r="Q4" s="73">
        <v>14.090751276190476</v>
      </c>
      <c r="R4" s="72">
        <v>1.2</v>
      </c>
      <c r="S4" s="72">
        <v>1000</v>
      </c>
      <c r="T4" s="75">
        <v>72222.816442090698</v>
      </c>
      <c r="U4" s="75">
        <v>1245841.8584465</v>
      </c>
      <c r="V4" s="76">
        <v>86.064118746106104</v>
      </c>
      <c r="X4" s="72">
        <v>200</v>
      </c>
      <c r="Y4" s="73">
        <v>1886.0818077204799</v>
      </c>
      <c r="Z4" s="73">
        <v>304.96025712839298</v>
      </c>
      <c r="AA4" s="74">
        <v>158.57889940277099</v>
      </c>
      <c r="AB4" s="73">
        <v>15.370247949206348</v>
      </c>
      <c r="AC4" s="72">
        <v>1.2</v>
      </c>
      <c r="AD4" s="72">
        <v>1000</v>
      </c>
      <c r="AE4" s="75">
        <v>78783.867190556004</v>
      </c>
      <c r="AF4" s="75">
        <v>1251486.3565255399</v>
      </c>
      <c r="AG4" s="76">
        <f t="shared" si="1"/>
        <v>86.200209979559645</v>
      </c>
      <c r="AI4" s="72">
        <v>200</v>
      </c>
      <c r="AJ4" s="73">
        <v>1789.87019560311</v>
      </c>
      <c r="AK4" s="73">
        <v>297.94471795604602</v>
      </c>
      <c r="AL4" s="74">
        <v>149.82494036284299</v>
      </c>
      <c r="AM4" s="73">
        <v>16.649999999999999</v>
      </c>
      <c r="AN4" s="72">
        <v>1.2</v>
      </c>
      <c r="AO4" s="72">
        <v>1000</v>
      </c>
      <c r="AP4" s="75">
        <v>85344.917939021296</v>
      </c>
      <c r="AQ4" s="75">
        <v>1257134.22807937</v>
      </c>
      <c r="AR4" s="76">
        <f t="shared" si="2"/>
        <v>86.334847440849188</v>
      </c>
    </row>
    <row r="5" spans="2:44" x14ac:dyDescent="0.25">
      <c r="B5" s="72">
        <v>300</v>
      </c>
      <c r="C5" s="73">
        <v>2163.27549577842</v>
      </c>
      <c r="D5" s="73">
        <v>403.45726476082802</v>
      </c>
      <c r="E5" s="74">
        <v>178.8</v>
      </c>
      <c r="F5" s="73">
        <v>12.811254603174602</v>
      </c>
      <c r="G5" s="72">
        <v>1.2</v>
      </c>
      <c r="H5" s="72">
        <v>1000</v>
      </c>
      <c r="I5" s="75">
        <v>104893.05850104</v>
      </c>
      <c r="J5" s="75">
        <v>1278561.6253616901</v>
      </c>
      <c r="K5" s="76">
        <f t="shared" si="0"/>
        <v>86.41687945142877</v>
      </c>
      <c r="M5" s="72">
        <v>300</v>
      </c>
      <c r="N5" s="73">
        <v>2052.6824389754402</v>
      </c>
      <c r="O5" s="73">
        <v>396.98505408618797</v>
      </c>
      <c r="P5" s="74">
        <v>168.682872584823</v>
      </c>
      <c r="Q5" s="73">
        <v>14.090751276190476</v>
      </c>
      <c r="R5" s="72">
        <v>1.2</v>
      </c>
      <c r="S5" s="72">
        <v>1000</v>
      </c>
      <c r="T5" s="75">
        <v>115365.170110035</v>
      </c>
      <c r="U5" s="75">
        <v>1288981.05772586</v>
      </c>
      <c r="V5" s="76">
        <v>86.530765012006128</v>
      </c>
      <c r="X5" s="72">
        <v>300</v>
      </c>
      <c r="Y5" s="73">
        <v>1950</v>
      </c>
      <c r="Z5" s="73">
        <v>390.05403159108897</v>
      </c>
      <c r="AA5" s="74">
        <v>158.57889940277099</v>
      </c>
      <c r="AB5" s="73">
        <v>15.370247949206348</v>
      </c>
      <c r="AC5" s="72">
        <v>1.2</v>
      </c>
      <c r="AD5" s="72">
        <v>1000</v>
      </c>
      <c r="AE5" s="75">
        <v>125845.469452891</v>
      </c>
      <c r="AF5" s="75">
        <v>1298549.81285571</v>
      </c>
      <c r="AG5" s="76">
        <f t="shared" si="1"/>
        <v>86.700214216425337</v>
      </c>
      <c r="AI5" s="72">
        <v>300</v>
      </c>
      <c r="AJ5" s="73">
        <v>1856.7880022484701</v>
      </c>
      <c r="AK5" s="73">
        <v>384.04629881224901</v>
      </c>
      <c r="AL5" s="74">
        <v>149.82494036284299</v>
      </c>
      <c r="AM5" s="73">
        <v>16.649999999999999</v>
      </c>
      <c r="AN5" s="72">
        <v>1.2</v>
      </c>
      <c r="AO5" s="72">
        <v>1000</v>
      </c>
      <c r="AP5" s="75">
        <v>136325.76879574699</v>
      </c>
      <c r="AQ5" s="75">
        <v>1308115.0781584801</v>
      </c>
      <c r="AR5" s="76">
        <f t="shared" si="2"/>
        <v>86.867416160008474</v>
      </c>
    </row>
    <row r="6" spans="2:44" x14ac:dyDescent="0.25">
      <c r="B6" s="72">
        <v>400</v>
      </c>
      <c r="C6" s="73">
        <v>2218.7357156466101</v>
      </c>
      <c r="D6" s="73">
        <v>486.04976580364001</v>
      </c>
      <c r="E6" s="74">
        <v>178.8</v>
      </c>
      <c r="F6" s="73">
        <v>12.811254603174602</v>
      </c>
      <c r="G6" s="72">
        <v>1.2</v>
      </c>
      <c r="H6" s="72">
        <v>1000</v>
      </c>
      <c r="I6" s="75">
        <v>144870.694436964</v>
      </c>
      <c r="J6" s="75">
        <v>1318539.26130923</v>
      </c>
      <c r="K6" s="76">
        <f t="shared" si="0"/>
        <v>86.828714777910861</v>
      </c>
      <c r="M6" s="72">
        <v>400</v>
      </c>
      <c r="N6" s="73">
        <v>2112.8182698416199</v>
      </c>
      <c r="O6" s="73">
        <v>480.90204782701198</v>
      </c>
      <c r="P6" s="74">
        <v>168.682872584823</v>
      </c>
      <c r="Q6" s="73">
        <v>14.090751276190476</v>
      </c>
      <c r="R6" s="72">
        <v>1.2</v>
      </c>
      <c r="S6" s="72">
        <v>1000</v>
      </c>
      <c r="T6" s="75">
        <v>159334.01644030999</v>
      </c>
      <c r="U6" s="75">
        <v>1332949.74473624</v>
      </c>
      <c r="V6" s="76">
        <v>86.975073217761519</v>
      </c>
      <c r="X6" s="72">
        <v>400</v>
      </c>
      <c r="Y6" s="73">
        <v>2014.0675792332199</v>
      </c>
      <c r="Z6" s="73">
        <v>475.13240868259402</v>
      </c>
      <c r="AA6" s="74">
        <v>158.57889940277099</v>
      </c>
      <c r="AB6" s="73">
        <v>15.370247949206348</v>
      </c>
      <c r="AC6" s="72">
        <v>1.2</v>
      </c>
      <c r="AD6" s="72">
        <v>1000</v>
      </c>
      <c r="AE6" s="75">
        <v>173808.646748586</v>
      </c>
      <c r="AF6" s="75">
        <v>1346511.3446456101</v>
      </c>
      <c r="AG6" s="76">
        <f t="shared" si="1"/>
        <v>87.174062915713662</v>
      </c>
      <c r="AI6" s="72">
        <v>400</v>
      </c>
      <c r="AJ6" s="73">
        <v>1924</v>
      </c>
      <c r="AK6" s="73">
        <v>470.12928326988401</v>
      </c>
      <c r="AL6" s="74">
        <v>149.82494036284299</v>
      </c>
      <c r="AM6" s="73">
        <v>16.649999999999999</v>
      </c>
      <c r="AN6" s="72">
        <v>1.2</v>
      </c>
      <c r="AO6" s="72">
        <v>1000</v>
      </c>
      <c r="AP6" s="75">
        <v>188283.277056861</v>
      </c>
      <c r="AQ6" s="75">
        <v>1360072.56617836</v>
      </c>
      <c r="AR6" s="76">
        <f t="shared" si="2"/>
        <v>87.369108576007363</v>
      </c>
    </row>
    <row r="7" spans="2:44" x14ac:dyDescent="0.25">
      <c r="B7" s="72">
        <v>500</v>
      </c>
      <c r="C7" s="73">
        <v>2273.5933327080602</v>
      </c>
      <c r="D7" s="73">
        <v>568.628390559173</v>
      </c>
      <c r="E7" s="74">
        <v>178.8</v>
      </c>
      <c r="F7" s="73">
        <v>12.811254603174602</v>
      </c>
      <c r="G7" s="72">
        <v>1.2</v>
      </c>
      <c r="H7" s="72">
        <v>1000</v>
      </c>
      <c r="I7" s="75">
        <v>185571.96938011001</v>
      </c>
      <c r="J7" s="75">
        <v>1359240.5253977999</v>
      </c>
      <c r="K7" s="76">
        <f t="shared" si="0"/>
        <v>87.223118147771274</v>
      </c>
      <c r="M7" s="72">
        <v>500</v>
      </c>
      <c r="N7" s="73">
        <v>2172.4732981765801</v>
      </c>
      <c r="O7" s="73">
        <v>564.80276186798699</v>
      </c>
      <c r="P7" s="74">
        <v>168.682872584823</v>
      </c>
      <c r="Q7" s="73">
        <v>14.090751276190476</v>
      </c>
      <c r="R7" s="72">
        <v>1.2</v>
      </c>
      <c r="S7" s="72">
        <v>1000</v>
      </c>
      <c r="T7" s="75">
        <v>204098.747058446</v>
      </c>
      <c r="U7" s="75">
        <v>1377714.4701860701</v>
      </c>
      <c r="V7" s="76">
        <v>87.398279768072982</v>
      </c>
      <c r="X7" s="72">
        <v>500</v>
      </c>
      <c r="Y7" s="73">
        <v>2077.7084167684202</v>
      </c>
      <c r="Z7" s="73">
        <v>560.18967079544097</v>
      </c>
      <c r="AA7" s="74">
        <v>158.57889940277099</v>
      </c>
      <c r="AB7" s="73">
        <v>15.370247949206348</v>
      </c>
      <c r="AC7" s="72">
        <v>1.2</v>
      </c>
      <c r="AD7" s="72">
        <v>1000</v>
      </c>
      <c r="AE7" s="75">
        <v>222640.01009853199</v>
      </c>
      <c r="AF7" s="75">
        <v>1395342.49901071</v>
      </c>
      <c r="AG7" s="76">
        <f t="shared" si="1"/>
        <v>87.622932073335178</v>
      </c>
      <c r="AI7" s="72">
        <v>500</v>
      </c>
      <c r="AJ7" s="73">
        <v>1990.69345170476</v>
      </c>
      <c r="AK7" s="73">
        <v>556.189103235164</v>
      </c>
      <c r="AL7" s="74">
        <v>149.82494036284299</v>
      </c>
      <c r="AM7" s="73">
        <v>16.649999999999999</v>
      </c>
      <c r="AN7" s="72">
        <v>1.2</v>
      </c>
      <c r="AO7" s="72">
        <v>1000</v>
      </c>
      <c r="AP7" s="75">
        <v>241181.27313861801</v>
      </c>
      <c r="AQ7" s="75">
        <v>1412970.5829851199</v>
      </c>
      <c r="AR7" s="76">
        <f t="shared" si="2"/>
        <v>87.841975486597164</v>
      </c>
    </row>
    <row r="8" spans="2:44" x14ac:dyDescent="0.25">
      <c r="B8" s="72">
        <v>600</v>
      </c>
      <c r="C8" s="73">
        <v>2327.7049729032101</v>
      </c>
      <c r="D8" s="73">
        <v>651.18845149681397</v>
      </c>
      <c r="E8" s="74">
        <v>178.8</v>
      </c>
      <c r="F8" s="73">
        <v>12.811254603174602</v>
      </c>
      <c r="G8" s="72">
        <v>1.2</v>
      </c>
      <c r="H8" s="72">
        <v>1000</v>
      </c>
      <c r="I8" s="75">
        <v>226962.711331497</v>
      </c>
      <c r="J8" s="75">
        <v>1400631.27820232</v>
      </c>
      <c r="K8" s="76">
        <f t="shared" si="0"/>
        <v>87.600693374938558</v>
      </c>
      <c r="M8" s="72">
        <v>600</v>
      </c>
      <c r="N8" s="73">
        <v>2231.46918336009</v>
      </c>
      <c r="O8" s="73">
        <v>648.68277969884298</v>
      </c>
      <c r="P8" s="74">
        <v>168.682872584823</v>
      </c>
      <c r="Q8" s="73">
        <v>14.090751276190476</v>
      </c>
      <c r="R8" s="72">
        <v>1.2</v>
      </c>
      <c r="S8" s="72">
        <v>1000</v>
      </c>
      <c r="T8" s="75">
        <v>249621.778367091</v>
      </c>
      <c r="U8" s="75">
        <v>1423237.5045773601</v>
      </c>
      <c r="V8" s="76">
        <v>87.801352504280345</v>
      </c>
      <c r="X8" s="72">
        <v>600</v>
      </c>
      <c r="Y8" s="73">
        <v>2140.8464297800701</v>
      </c>
      <c r="Z8" s="73">
        <v>645.22331809836305</v>
      </c>
      <c r="AA8" s="74">
        <v>158.57889940277099</v>
      </c>
      <c r="AB8" s="73">
        <v>15.370247949206348</v>
      </c>
      <c r="AC8" s="72">
        <v>1.2</v>
      </c>
      <c r="AD8" s="72">
        <v>1000</v>
      </c>
      <c r="AE8" s="75">
        <v>272298.56163961597</v>
      </c>
      <c r="AF8" s="75">
        <v>1445001.0503754499</v>
      </c>
      <c r="AG8" s="76">
        <f t="shared" si="1"/>
        <v>88.048279363467515</v>
      </c>
      <c r="AI8" s="72">
        <v>600</v>
      </c>
      <c r="AJ8" s="73">
        <v>2057.2642316785</v>
      </c>
      <c r="AK8" s="73">
        <v>642.222585947433</v>
      </c>
      <c r="AL8" s="74">
        <v>149.82494036284299</v>
      </c>
      <c r="AM8" s="73">
        <v>16.649999999999999</v>
      </c>
      <c r="AN8" s="72">
        <v>1.2</v>
      </c>
      <c r="AO8" s="72">
        <v>1000</v>
      </c>
      <c r="AP8" s="75">
        <v>294975.34491213999</v>
      </c>
      <c r="AQ8" s="75">
        <v>1466764.6546505501</v>
      </c>
      <c r="AR8" s="76">
        <f t="shared" si="2"/>
        <v>88.287875004777902</v>
      </c>
    </row>
    <row r="9" spans="2:44" x14ac:dyDescent="0.25">
      <c r="B9" s="72">
        <v>700</v>
      </c>
      <c r="C9" s="73">
        <v>2380.9051394758699</v>
      </c>
      <c r="D9" s="73">
        <v>733.72440315911899</v>
      </c>
      <c r="E9" s="74">
        <v>178.8</v>
      </c>
      <c r="F9" s="73">
        <v>12.811254603174602</v>
      </c>
      <c r="G9" s="72">
        <v>1.2</v>
      </c>
      <c r="H9" s="72">
        <v>1000</v>
      </c>
      <c r="I9" s="75">
        <v>269004.106255666</v>
      </c>
      <c r="J9" s="75">
        <v>1442673.4632099101</v>
      </c>
      <c r="K9" s="76">
        <f t="shared" si="0"/>
        <v>87.961977440977222</v>
      </c>
      <c r="M9" s="72">
        <v>700</v>
      </c>
      <c r="N9" s="73">
        <v>2289</v>
      </c>
      <c r="O9" s="73">
        <v>732.53595918664803</v>
      </c>
      <c r="P9" s="74">
        <v>168.682872584823</v>
      </c>
      <c r="Q9" s="73">
        <v>14.090751276190476</v>
      </c>
      <c r="R9" s="72">
        <v>1.2</v>
      </c>
      <c r="S9" s="72">
        <v>1000</v>
      </c>
      <c r="T9" s="75">
        <v>295860.42128970003</v>
      </c>
      <c r="U9" s="75">
        <v>1469476.1471935799</v>
      </c>
      <c r="V9" s="76">
        <v>88.185196048574667</v>
      </c>
      <c r="X9" s="72">
        <v>700</v>
      </c>
      <c r="Y9" s="73">
        <v>2203.28102891867</v>
      </c>
      <c r="Z9" s="73">
        <v>730.22772234995603</v>
      </c>
      <c r="AA9" s="74">
        <v>158.57889940277099</v>
      </c>
      <c r="AB9" s="73">
        <v>15.370247949206348</v>
      </c>
      <c r="AC9" s="72">
        <v>1.2</v>
      </c>
      <c r="AD9" s="72">
        <v>1000</v>
      </c>
      <c r="AE9" s="75">
        <v>322737.734224463</v>
      </c>
      <c r="AF9" s="75">
        <v>1495440.22274489</v>
      </c>
      <c r="AG9" s="76">
        <f t="shared" si="1"/>
        <v>88.451394720182748</v>
      </c>
      <c r="AI9" s="72">
        <v>700</v>
      </c>
      <c r="AJ9" s="73">
        <v>2123.2891758466299</v>
      </c>
      <c r="AK9" s="73">
        <v>728.22516979511795</v>
      </c>
      <c r="AL9" s="74">
        <v>149.82494036284299</v>
      </c>
      <c r="AM9" s="73">
        <v>16.649999999999999</v>
      </c>
      <c r="AN9" s="72">
        <v>1.2</v>
      </c>
      <c r="AO9" s="72">
        <v>1000</v>
      </c>
      <c r="AP9" s="75">
        <v>349615.04715922597</v>
      </c>
      <c r="AQ9" s="75">
        <v>1521404.3567759399</v>
      </c>
      <c r="AR9" s="76">
        <f t="shared" si="2"/>
        <v>88.708504162512142</v>
      </c>
    </row>
    <row r="10" spans="2:44" x14ac:dyDescent="0.25">
      <c r="B10" s="72">
        <v>100</v>
      </c>
      <c r="C10" s="73">
        <v>2051</v>
      </c>
      <c r="D10" s="73">
        <v>481.43704047326298</v>
      </c>
      <c r="E10" s="74">
        <v>344.8</v>
      </c>
      <c r="F10" s="73">
        <v>13.878859153439153</v>
      </c>
      <c r="G10" s="72">
        <v>1.3</v>
      </c>
      <c r="H10" s="72">
        <v>1000</v>
      </c>
      <c r="I10" s="75">
        <v>71141.268232773393</v>
      </c>
      <c r="J10" s="75">
        <v>1300991.4033210401</v>
      </c>
      <c r="K10" s="76">
        <v>79.599999999999994</v>
      </c>
      <c r="M10" s="72">
        <v>100</v>
      </c>
      <c r="N10" s="73">
        <v>1931.67614644686</v>
      </c>
      <c r="O10" s="73">
        <v>380.53723941816202</v>
      </c>
      <c r="P10" s="74">
        <v>322.268166391612</v>
      </c>
      <c r="Q10" s="73">
        <v>15.264980549206348</v>
      </c>
      <c r="R10" s="72">
        <v>1.3</v>
      </c>
      <c r="S10" s="72">
        <v>1000</v>
      </c>
      <c r="T10" s="75">
        <v>32422.496256485399</v>
      </c>
      <c r="U10" s="75">
        <v>1303838.99486336</v>
      </c>
      <c r="V10" s="76">
        <f>(S10*1000+T10)/U10*100</f>
        <v>79.183281089447803</v>
      </c>
      <c r="X10" s="72">
        <v>100</v>
      </c>
      <c r="Y10" s="73">
        <v>1822.1151297128599</v>
      </c>
      <c r="Z10" s="73">
        <v>360.82378558319198</v>
      </c>
      <c r="AA10" s="74">
        <v>301.57382989900998</v>
      </c>
      <c r="AB10" s="73">
        <v>16.651101944973547</v>
      </c>
      <c r="AC10" s="72">
        <v>1.3</v>
      </c>
      <c r="AD10" s="72">
        <v>1000</v>
      </c>
      <c r="AE10" s="75">
        <v>35364.434923941903</v>
      </c>
      <c r="AF10" s="75">
        <v>1305792.71539237</v>
      </c>
      <c r="AG10" s="76">
        <f t="shared" si="1"/>
        <v>79.290106516854877</v>
      </c>
      <c r="AI10" s="72">
        <v>100</v>
      </c>
      <c r="AJ10" s="73">
        <v>1723.22175903846</v>
      </c>
      <c r="AK10" s="73">
        <v>343.63061221227798</v>
      </c>
      <c r="AL10" s="74">
        <v>283.526379906388</v>
      </c>
      <c r="AM10" s="73">
        <v>18.037223340740741</v>
      </c>
      <c r="AN10" s="72">
        <v>1.3</v>
      </c>
      <c r="AO10" s="72">
        <v>1000</v>
      </c>
      <c r="AP10" s="75">
        <v>38316.781142817701</v>
      </c>
      <c r="AQ10" s="75">
        <v>1307753.41751255</v>
      </c>
      <c r="AR10" s="76">
        <f t="shared" si="2"/>
        <v>79.396984724978054</v>
      </c>
    </row>
    <row r="11" spans="2:44" x14ac:dyDescent="0.25">
      <c r="B11" s="72">
        <v>200</v>
      </c>
      <c r="C11" s="73">
        <v>2107.3025162171798</v>
      </c>
      <c r="D11" s="73">
        <v>481.43704047326298</v>
      </c>
      <c r="E11" s="74">
        <v>344.78427137838497</v>
      </c>
      <c r="F11" s="73">
        <v>13.878859153439153</v>
      </c>
      <c r="G11" s="72">
        <v>1.3</v>
      </c>
      <c r="H11" s="72">
        <v>1000</v>
      </c>
      <c r="I11" s="75">
        <v>71141.268232773393</v>
      </c>
      <c r="J11" s="75">
        <v>1342653.8134924399</v>
      </c>
      <c r="K11" s="76">
        <f t="shared" ref="K11:K30" si="3">(H11*1000+I11)/J11*100</f>
        <v>79.777918735923265</v>
      </c>
      <c r="M11" s="72">
        <v>200</v>
      </c>
      <c r="N11" s="73">
        <v>1992</v>
      </c>
      <c r="O11" s="73">
        <v>461.58514923235299</v>
      </c>
      <c r="P11" s="74">
        <v>322.3</v>
      </c>
      <c r="Q11" s="73">
        <v>15.264980549206348</v>
      </c>
      <c r="R11" s="72">
        <v>1.3</v>
      </c>
      <c r="S11" s="72">
        <v>1000</v>
      </c>
      <c r="T11" s="75">
        <v>78245.143414256294</v>
      </c>
      <c r="U11" s="75">
        <v>1349662.0130978299</v>
      </c>
      <c r="V11" s="76">
        <v>79.890011940055999</v>
      </c>
      <c r="X11" s="72">
        <v>200</v>
      </c>
      <c r="Y11" s="73">
        <v>1886.0818077204799</v>
      </c>
      <c r="Z11" s="73">
        <v>443.21939770227198</v>
      </c>
      <c r="AA11" s="74">
        <v>301.57382989900998</v>
      </c>
      <c r="AB11" s="73">
        <v>16.651101944973547</v>
      </c>
      <c r="AC11" s="72">
        <v>1.3</v>
      </c>
      <c r="AD11" s="72">
        <v>1000</v>
      </c>
      <c r="AE11" s="75">
        <v>85344.917939021296</v>
      </c>
      <c r="AF11" s="75">
        <v>1355773.2092545701</v>
      </c>
      <c r="AG11" s="76">
        <f t="shared" si="1"/>
        <v>80.053574634046981</v>
      </c>
      <c r="AI11" s="72">
        <v>200</v>
      </c>
      <c r="AJ11" s="73">
        <v>1789.87019560311</v>
      </c>
      <c r="AK11" s="73">
        <v>427.20191155123501</v>
      </c>
      <c r="AL11" s="74">
        <v>283.526379906388</v>
      </c>
      <c r="AM11" s="73">
        <v>18.037223340740741</v>
      </c>
      <c r="AN11" s="72">
        <v>1.3</v>
      </c>
      <c r="AO11" s="72">
        <v>1000</v>
      </c>
      <c r="AP11" s="75">
        <v>92469.808986182805</v>
      </c>
      <c r="AQ11" s="75">
        <v>1361906.44479948</v>
      </c>
      <c r="AR11" s="76">
        <f t="shared" si="2"/>
        <v>80.216215523308747</v>
      </c>
    </row>
    <row r="12" spans="2:44" x14ac:dyDescent="0.25">
      <c r="B12" s="72">
        <v>300</v>
      </c>
      <c r="C12" s="73">
        <v>2163.27549577842</v>
      </c>
      <c r="D12" s="73">
        <v>561.12598578763595</v>
      </c>
      <c r="E12" s="74">
        <v>344.78427467864498</v>
      </c>
      <c r="F12" s="73">
        <v>13.878859153439153</v>
      </c>
      <c r="G12" s="72">
        <v>1.3</v>
      </c>
      <c r="H12" s="72">
        <v>1000</v>
      </c>
      <c r="I12" s="75">
        <v>113637.558265236</v>
      </c>
      <c r="J12" s="75">
        <v>1385150.201688</v>
      </c>
      <c r="K12" s="76">
        <f t="shared" si="3"/>
        <v>80.398324810414948</v>
      </c>
      <c r="M12" s="72">
        <v>300</v>
      </c>
      <c r="N12" s="73">
        <v>2052.6824389754402</v>
      </c>
      <c r="O12" s="73">
        <v>542.79976852331095</v>
      </c>
      <c r="P12" s="74">
        <v>322.268166391612</v>
      </c>
      <c r="Q12" s="73">
        <v>15.264980549206348</v>
      </c>
      <c r="R12" s="72">
        <v>1.3</v>
      </c>
      <c r="S12" s="72">
        <v>1000</v>
      </c>
      <c r="T12" s="75">
        <v>124984.938624036</v>
      </c>
      <c r="U12" s="75">
        <v>1396401.6270375799</v>
      </c>
      <c r="V12" s="76">
        <v>80.563135765650358</v>
      </c>
      <c r="X12" s="72">
        <v>300</v>
      </c>
      <c r="Y12" s="73">
        <v>1950</v>
      </c>
      <c r="Z12" s="73">
        <v>525.76634408050904</v>
      </c>
      <c r="AA12" s="74">
        <v>301.57382989900998</v>
      </c>
      <c r="AB12" s="73">
        <v>16.651101944973547</v>
      </c>
      <c r="AC12" s="72">
        <v>1.3</v>
      </c>
      <c r="AD12" s="72">
        <v>1000</v>
      </c>
      <c r="AE12" s="75">
        <v>136325.76879574699</v>
      </c>
      <c r="AF12" s="75">
        <v>1406754.0600795101</v>
      </c>
      <c r="AG12" s="76">
        <f t="shared" si="1"/>
        <v>80.776434278179494</v>
      </c>
      <c r="AI12" s="72">
        <v>300</v>
      </c>
      <c r="AJ12" s="73">
        <v>1856.7880022484701</v>
      </c>
      <c r="AK12" s="73">
        <v>510.910499043512</v>
      </c>
      <c r="AL12" s="74">
        <v>283.526379906388</v>
      </c>
      <c r="AM12" s="73">
        <v>18.037223340740741</v>
      </c>
      <c r="AN12" s="72">
        <v>1.3</v>
      </c>
      <c r="AO12" s="72">
        <v>1000</v>
      </c>
      <c r="AP12" s="75">
        <v>147706.71886338</v>
      </c>
      <c r="AQ12" s="75">
        <v>1417143.35383301</v>
      </c>
      <c r="AR12" s="76">
        <f t="shared" si="2"/>
        <v>80.987340889623269</v>
      </c>
    </row>
    <row r="13" spans="2:44" x14ac:dyDescent="0.25">
      <c r="B13" s="72">
        <v>400</v>
      </c>
      <c r="C13" s="73">
        <v>2218.7357156466101</v>
      </c>
      <c r="D13" s="73">
        <v>641.00885179990803</v>
      </c>
      <c r="E13" s="74">
        <v>344.78427466347603</v>
      </c>
      <c r="F13" s="73">
        <v>13.878859153439153</v>
      </c>
      <c r="G13" s="72">
        <v>1.3</v>
      </c>
      <c r="H13" s="72">
        <v>1000</v>
      </c>
      <c r="I13" s="75">
        <v>156947.96410043101</v>
      </c>
      <c r="J13" s="75">
        <v>1428460.50952429</v>
      </c>
      <c r="K13" s="76">
        <f t="shared" si="3"/>
        <v>80.992646026015862</v>
      </c>
      <c r="M13" s="72">
        <v>400</v>
      </c>
      <c r="N13" s="73">
        <v>2112.8182698416199</v>
      </c>
      <c r="O13" s="73">
        <v>624.19064226559397</v>
      </c>
      <c r="P13" s="74">
        <v>322.268166391612</v>
      </c>
      <c r="Q13" s="73">
        <v>15.264980549206348</v>
      </c>
      <c r="R13" s="72">
        <v>1.3</v>
      </c>
      <c r="S13" s="72">
        <v>1000</v>
      </c>
      <c r="T13" s="75">
        <v>172620.143900617</v>
      </c>
      <c r="U13" s="75">
        <v>1444036.6596583701</v>
      </c>
      <c r="V13" s="76">
        <v>81.274418333233498</v>
      </c>
      <c r="X13" s="72">
        <v>400</v>
      </c>
      <c r="Y13" s="73">
        <v>2014.0675792332199</v>
      </c>
      <c r="Z13" s="73">
        <v>608.47423007693703</v>
      </c>
      <c r="AA13" s="74">
        <v>301.57382989900998</v>
      </c>
      <c r="AB13" s="73">
        <v>16.651101944973547</v>
      </c>
      <c r="AC13" s="72">
        <v>1.3</v>
      </c>
      <c r="AD13" s="72">
        <v>1000</v>
      </c>
      <c r="AE13" s="75">
        <v>188283.277056861</v>
      </c>
      <c r="AF13" s="75">
        <v>1458711.7942701001</v>
      </c>
      <c r="AG13" s="76">
        <f t="shared" si="1"/>
        <v>81.461141379983545</v>
      </c>
      <c r="AI13" s="72">
        <v>400</v>
      </c>
      <c r="AJ13" s="73">
        <v>1924</v>
      </c>
      <c r="AK13" s="73">
        <v>594.765739402338</v>
      </c>
      <c r="AL13" s="74">
        <v>283.526379906388</v>
      </c>
      <c r="AM13" s="73">
        <v>18.037223340740741</v>
      </c>
      <c r="AN13" s="72">
        <v>1.3</v>
      </c>
      <c r="AO13" s="72">
        <v>1000</v>
      </c>
      <c r="AP13" s="75">
        <v>204001.82090725299</v>
      </c>
      <c r="AQ13" s="75">
        <v>1473409.01235894</v>
      </c>
      <c r="AR13" s="76">
        <f t="shared" si="2"/>
        <v>81.715383224080881</v>
      </c>
    </row>
    <row r="14" spans="2:44" x14ac:dyDescent="0.25">
      <c r="B14" s="72">
        <v>500</v>
      </c>
      <c r="C14" s="73">
        <v>2273.5933327080602</v>
      </c>
      <c r="D14" s="73">
        <v>721.08326167878795</v>
      </c>
      <c r="E14" s="74">
        <v>344.78425183835299</v>
      </c>
      <c r="F14" s="73">
        <v>13.878859153439153</v>
      </c>
      <c r="G14" s="72">
        <v>1.3</v>
      </c>
      <c r="H14" s="72">
        <v>1000</v>
      </c>
      <c r="I14" s="75">
        <v>201042.335729182</v>
      </c>
      <c r="J14" s="75">
        <v>1472554.8694515701</v>
      </c>
      <c r="K14" s="76">
        <f t="shared" si="3"/>
        <v>81.561805311641209</v>
      </c>
      <c r="M14" s="72">
        <v>500</v>
      </c>
      <c r="N14" s="73">
        <v>2172.4732981765801</v>
      </c>
      <c r="O14" s="73">
        <v>705.75761120000095</v>
      </c>
      <c r="P14" s="74">
        <v>322.268166391612</v>
      </c>
      <c r="Q14" s="73">
        <v>15.264980549206348</v>
      </c>
      <c r="R14" s="72">
        <v>1.3</v>
      </c>
      <c r="S14" s="72">
        <v>1000</v>
      </c>
      <c r="T14" s="75">
        <v>221117.59857860001</v>
      </c>
      <c r="U14" s="75">
        <v>1492534.10873796</v>
      </c>
      <c r="V14" s="76">
        <v>81.815054773598348</v>
      </c>
      <c r="X14" s="72">
        <v>500</v>
      </c>
      <c r="Y14" s="73">
        <v>2077.7084167684202</v>
      </c>
      <c r="Z14" s="73">
        <v>691.34195672507201</v>
      </c>
      <c r="AA14" s="74">
        <v>301.57382989900998</v>
      </c>
      <c r="AB14" s="73">
        <v>16.651101944973547</v>
      </c>
      <c r="AC14" s="72">
        <v>1.3</v>
      </c>
      <c r="AD14" s="72">
        <v>1000</v>
      </c>
      <c r="AE14" s="75">
        <v>241181.27313861801</v>
      </c>
      <c r="AF14" s="75">
        <v>1511609.56399518</v>
      </c>
      <c r="AG14" s="76">
        <f t="shared" si="1"/>
        <v>82.109911362176049</v>
      </c>
      <c r="AI14" s="72">
        <v>500</v>
      </c>
      <c r="AJ14" s="73">
        <v>1990.69345170476</v>
      </c>
      <c r="AK14" s="73">
        <v>678.76830133924898</v>
      </c>
      <c r="AL14" s="74">
        <v>283.526379906388</v>
      </c>
      <c r="AM14" s="73">
        <v>18.037223340740741</v>
      </c>
      <c r="AN14" s="72">
        <v>1.3</v>
      </c>
      <c r="AO14" s="72">
        <v>1000</v>
      </c>
      <c r="AP14" s="75">
        <v>261315.92597121099</v>
      </c>
      <c r="AQ14" s="75">
        <v>1530752.56146653</v>
      </c>
      <c r="AR14" s="76">
        <f t="shared" si="2"/>
        <v>82.398420079259154</v>
      </c>
    </row>
    <row r="15" spans="2:44" x14ac:dyDescent="0.25">
      <c r="B15" s="72">
        <v>600</v>
      </c>
      <c r="C15" s="73">
        <v>2327.7049729032101</v>
      </c>
      <c r="D15" s="73">
        <v>801.33741745463897</v>
      </c>
      <c r="E15" s="74">
        <v>344.78427467663101</v>
      </c>
      <c r="F15" s="73">
        <v>13.878859153439153</v>
      </c>
      <c r="G15" s="72">
        <v>1.3</v>
      </c>
      <c r="H15" s="72">
        <v>1000</v>
      </c>
      <c r="I15" s="75">
        <v>245883.65237451001</v>
      </c>
      <c r="J15" s="75">
        <v>1517396.19779747</v>
      </c>
      <c r="K15" s="76">
        <f t="shared" si="3"/>
        <v>82.106680785343627</v>
      </c>
      <c r="M15" s="72">
        <v>600</v>
      </c>
      <c r="N15" s="73">
        <v>2231.46918336009</v>
      </c>
      <c r="O15" s="73">
        <v>787.49064044885199</v>
      </c>
      <c r="P15" s="74">
        <v>322.268166391612</v>
      </c>
      <c r="Q15" s="73">
        <v>15.264980549206348</v>
      </c>
      <c r="R15" s="72">
        <v>1.3</v>
      </c>
      <c r="S15" s="72">
        <v>1000</v>
      </c>
      <c r="T15" s="75">
        <v>270349.775577133</v>
      </c>
      <c r="U15" s="75">
        <v>1541853.09863583</v>
      </c>
      <c r="V15" s="76">
        <v>82.391103063001765</v>
      </c>
      <c r="X15" s="72">
        <v>600</v>
      </c>
      <c r="Y15" s="73">
        <v>2140.8464297800701</v>
      </c>
      <c r="Z15" s="73">
        <v>774.36261665853397</v>
      </c>
      <c r="AA15" s="74">
        <v>301.57382989900998</v>
      </c>
      <c r="AB15" s="73">
        <v>16.651101944973547</v>
      </c>
      <c r="AC15" s="72">
        <v>1.3</v>
      </c>
      <c r="AD15" s="72">
        <v>1000</v>
      </c>
      <c r="AE15" s="75">
        <v>294975.34491213999</v>
      </c>
      <c r="AF15" s="75">
        <v>1565403.6355770801</v>
      </c>
      <c r="AG15" s="76">
        <f t="shared" si="1"/>
        <v>82.724692563701126</v>
      </c>
      <c r="AI15" s="72">
        <v>600</v>
      </c>
      <c r="AJ15" s="73">
        <v>2057.2642316785</v>
      </c>
      <c r="AK15" s="73">
        <v>762.91162825245704</v>
      </c>
      <c r="AL15" s="74">
        <v>283.526379906388</v>
      </c>
      <c r="AM15" s="73">
        <v>18.037223340740741</v>
      </c>
      <c r="AN15" s="72">
        <v>1.3</v>
      </c>
      <c r="AO15" s="72">
        <v>1000</v>
      </c>
      <c r="AP15" s="75">
        <v>319600.91424714797</v>
      </c>
      <c r="AQ15" s="75">
        <v>1589037.5496256901</v>
      </c>
      <c r="AR15" s="76">
        <f t="shared" si="2"/>
        <v>83.044035967431356</v>
      </c>
    </row>
    <row r="16" spans="2:44" x14ac:dyDescent="0.25">
      <c r="B16" s="72">
        <v>700</v>
      </c>
      <c r="C16" s="73">
        <v>2380.9051394758699</v>
      </c>
      <c r="D16" s="73">
        <v>881.74955802080694</v>
      </c>
      <c r="E16" s="74">
        <v>344.78427291248403</v>
      </c>
      <c r="F16" s="73">
        <v>13.878859153439153</v>
      </c>
      <c r="G16" s="72">
        <v>1.3</v>
      </c>
      <c r="H16" s="72">
        <v>1000</v>
      </c>
      <c r="I16" s="75">
        <v>291429.86423561</v>
      </c>
      <c r="J16" s="75">
        <v>1562943.2644924801</v>
      </c>
      <c r="K16" s="76">
        <f t="shared" si="3"/>
        <v>82.628070613616543</v>
      </c>
      <c r="M16" s="72">
        <v>700</v>
      </c>
      <c r="N16" s="73">
        <v>2289</v>
      </c>
      <c r="O16" s="73">
        <v>869.37078521433398</v>
      </c>
      <c r="P16" s="74">
        <v>322.268166391612</v>
      </c>
      <c r="Q16" s="73">
        <v>15.264980549206348</v>
      </c>
      <c r="R16" s="72">
        <v>1.3</v>
      </c>
      <c r="S16" s="72">
        <v>1000</v>
      </c>
      <c r="T16" s="75">
        <v>320530.85485771002</v>
      </c>
      <c r="U16" s="75">
        <v>1591947.3680248701</v>
      </c>
      <c r="V16" s="76">
        <v>82.950660391247311</v>
      </c>
      <c r="X16" s="72">
        <v>700</v>
      </c>
      <c r="Y16" s="73">
        <v>2203.28102891867</v>
      </c>
      <c r="Z16" s="73">
        <v>774.36261665853397</v>
      </c>
      <c r="AA16" s="74">
        <v>301.57382989900998</v>
      </c>
      <c r="AB16" s="73">
        <v>16.651101944973547</v>
      </c>
      <c r="AC16" s="72">
        <v>1.3</v>
      </c>
      <c r="AD16" s="72">
        <v>1000</v>
      </c>
      <c r="AE16" s="75">
        <v>294975.34491213999</v>
      </c>
      <c r="AF16" s="75">
        <v>1620043.3375913801</v>
      </c>
      <c r="AG16" s="76">
        <v>83.246113072173003</v>
      </c>
      <c r="AI16" s="72">
        <v>700</v>
      </c>
      <c r="AJ16" s="73">
        <v>2123.2891758466299</v>
      </c>
      <c r="AK16" s="73">
        <v>847.181274914293</v>
      </c>
      <c r="AL16" s="74">
        <v>283.526379906388</v>
      </c>
      <c r="AM16" s="73">
        <v>18.037223340740741</v>
      </c>
      <c r="AN16" s="72">
        <v>1.3</v>
      </c>
      <c r="AO16" s="72">
        <v>1000</v>
      </c>
      <c r="AP16" s="75">
        <v>378802.12917432102</v>
      </c>
      <c r="AQ16" s="75">
        <v>1648238.7644211601</v>
      </c>
      <c r="AR16" s="76">
        <f t="shared" si="2"/>
        <v>83.653057975404323</v>
      </c>
    </row>
    <row r="17" spans="2:44" x14ac:dyDescent="0.25">
      <c r="B17" s="72">
        <v>100</v>
      </c>
      <c r="C17" s="73">
        <v>2051</v>
      </c>
      <c r="D17" s="73">
        <v>749.74792164392204</v>
      </c>
      <c r="E17" s="74">
        <v>696.6</v>
      </c>
      <c r="F17" s="73">
        <v>17.081672804232802</v>
      </c>
      <c r="G17" s="72">
        <v>1.6</v>
      </c>
      <c r="H17" s="72">
        <v>1000</v>
      </c>
      <c r="I17" s="75">
        <v>36281.998640887497</v>
      </c>
      <c r="J17" s="75">
        <v>1601234.6439555001</v>
      </c>
      <c r="K17" s="76">
        <f t="shared" si="3"/>
        <v>64.717685353158444</v>
      </c>
      <c r="M17" s="72">
        <v>100</v>
      </c>
      <c r="N17" s="73">
        <v>1931.67614644686</v>
      </c>
      <c r="O17" s="73">
        <v>703.75977760685703</v>
      </c>
      <c r="P17" s="74">
        <v>649.34745832548901</v>
      </c>
      <c r="Q17" s="73">
        <v>18.787668368253968</v>
      </c>
      <c r="R17" s="72">
        <v>1.6</v>
      </c>
      <c r="S17" s="72">
        <v>1000</v>
      </c>
      <c r="T17" s="75">
        <v>39904.821347956</v>
      </c>
      <c r="U17" s="75">
        <v>1604714.24038251</v>
      </c>
      <c r="V17" s="76">
        <f>(S17*1000+T17)/U17*100</f>
        <v>64.803115419482879</v>
      </c>
      <c r="X17" s="72">
        <v>100</v>
      </c>
      <c r="Y17" s="73">
        <v>1822.1151297128599</v>
      </c>
      <c r="Z17" s="73">
        <v>662.84478126242004</v>
      </c>
      <c r="AA17" s="74">
        <v>607.29138785315399</v>
      </c>
      <c r="AB17" s="73">
        <v>20.49366393227513</v>
      </c>
      <c r="AC17" s="72">
        <v>1.6</v>
      </c>
      <c r="AD17" s="72">
        <v>1000</v>
      </c>
      <c r="AE17" s="75">
        <v>43520.556852346701</v>
      </c>
      <c r="AF17" s="75">
        <v>1607126.24074631</v>
      </c>
      <c r="AG17" s="76">
        <f t="shared" ref="AG17:AG30" si="4">(AD17*1000+AE17)/AF17*100</f>
        <v>64.930839307792112</v>
      </c>
      <c r="AI17" s="72">
        <v>100</v>
      </c>
      <c r="AJ17" s="73">
        <v>1723.22175903846</v>
      </c>
      <c r="AK17" s="73">
        <v>626.95592855936604</v>
      </c>
      <c r="AL17" s="74">
        <v>570.39256926302596</v>
      </c>
      <c r="AM17" s="73">
        <v>22.2</v>
      </c>
      <c r="AN17" s="72">
        <v>1.6</v>
      </c>
      <c r="AO17" s="72">
        <v>1000</v>
      </c>
      <c r="AP17" s="75">
        <v>47152.579898589298</v>
      </c>
      <c r="AQ17" s="75">
        <v>1609538.3274362599</v>
      </c>
      <c r="AR17" s="76">
        <f t="shared" si="2"/>
        <v>65.059188839978589</v>
      </c>
    </row>
    <row r="18" spans="2:44" x14ac:dyDescent="0.25">
      <c r="B18" s="72">
        <v>200</v>
      </c>
      <c r="C18" s="73">
        <v>2107.3025162171798</v>
      </c>
      <c r="D18" s="73">
        <v>831.43641854376301</v>
      </c>
      <c r="E18" s="74">
        <v>696.63208313783605</v>
      </c>
      <c r="F18" s="73">
        <v>17.081672804232802</v>
      </c>
      <c r="G18" s="72">
        <v>1.6</v>
      </c>
      <c r="H18" s="72">
        <v>1000</v>
      </c>
      <c r="I18" s="75">
        <v>92743.721686370598</v>
      </c>
      <c r="J18" s="75">
        <v>1652511.9184983801</v>
      </c>
      <c r="K18" s="76">
        <f t="shared" si="3"/>
        <v>66.126223324267158</v>
      </c>
      <c r="M18" s="72">
        <v>200</v>
      </c>
      <c r="N18" s="73">
        <v>1992</v>
      </c>
      <c r="O18" s="73">
        <v>779.76290538185401</v>
      </c>
      <c r="P18" s="74">
        <v>649.29999999999995</v>
      </c>
      <c r="Q18" s="73">
        <v>18.787668368253968</v>
      </c>
      <c r="R18" s="72">
        <v>1.6</v>
      </c>
      <c r="S18" s="72">
        <v>1000</v>
      </c>
      <c r="T18" s="75">
        <v>96302.223141333001</v>
      </c>
      <c r="U18" s="75">
        <v>1661122.4777095199</v>
      </c>
      <c r="V18" s="76">
        <v>65.997675538831828</v>
      </c>
      <c r="X18" s="72">
        <v>200</v>
      </c>
      <c r="Y18" s="73">
        <v>1886.0818077204799</v>
      </c>
      <c r="Z18" s="73">
        <v>740.40314324904102</v>
      </c>
      <c r="AA18" s="74">
        <v>607.29138785315399</v>
      </c>
      <c r="AB18" s="73">
        <v>20.49366393227513</v>
      </c>
      <c r="AC18" s="72">
        <v>1.6</v>
      </c>
      <c r="AD18" s="72">
        <v>1000</v>
      </c>
      <c r="AE18" s="75">
        <v>105028.070184417</v>
      </c>
      <c r="AF18" s="75">
        <v>1668633.76743891</v>
      </c>
      <c r="AG18" s="76">
        <f t="shared" si="4"/>
        <v>66.223523204882824</v>
      </c>
      <c r="AI18" s="72">
        <v>200</v>
      </c>
      <c r="AJ18" s="73">
        <v>1789.87019560311</v>
      </c>
      <c r="AK18" s="73">
        <v>705.89066958970204</v>
      </c>
      <c r="AL18" s="74">
        <v>570.39256926302596</v>
      </c>
      <c r="AM18" s="73">
        <v>22.2</v>
      </c>
      <c r="AN18" s="72">
        <v>1.6</v>
      </c>
      <c r="AO18" s="72">
        <v>1000</v>
      </c>
      <c r="AP18" s="75">
        <v>113793.223918695</v>
      </c>
      <c r="AQ18" s="75">
        <v>1676178.9707724999</v>
      </c>
      <c r="AR18" s="76">
        <f t="shared" si="2"/>
        <v>66.448347302996027</v>
      </c>
    </row>
    <row r="19" spans="2:44" x14ac:dyDescent="0.25">
      <c r="B19" s="72">
        <v>300</v>
      </c>
      <c r="C19" s="73">
        <v>2163.27549577842</v>
      </c>
      <c r="D19" s="73">
        <v>898.76809725441899</v>
      </c>
      <c r="E19" s="74">
        <v>696.63208368220205</v>
      </c>
      <c r="F19" s="73">
        <v>17.081672804232802</v>
      </c>
      <c r="G19" s="72">
        <v>1.6</v>
      </c>
      <c r="H19" s="72">
        <v>1000</v>
      </c>
      <c r="I19" s="75">
        <v>139862.86982396099</v>
      </c>
      <c r="J19" s="75">
        <v>1704815.51575315</v>
      </c>
      <c r="K19" s="76">
        <f t="shared" si="3"/>
        <v>66.861361789072802</v>
      </c>
      <c r="M19" s="72">
        <v>300</v>
      </c>
      <c r="N19" s="73">
        <v>2052.6824389754402</v>
      </c>
      <c r="O19" s="73">
        <v>856.29036785522396</v>
      </c>
      <c r="P19" s="74">
        <v>649.34745832548901</v>
      </c>
      <c r="Q19" s="73">
        <v>18.787668368253968</v>
      </c>
      <c r="R19" s="72">
        <v>1.6</v>
      </c>
      <c r="S19" s="72">
        <v>1000</v>
      </c>
      <c r="T19" s="75">
        <v>153828.42849368101</v>
      </c>
      <c r="U19" s="75">
        <v>1718591.5815053999</v>
      </c>
      <c r="V19" s="76">
        <v>67.138024002362755</v>
      </c>
      <c r="X19" s="72">
        <v>300</v>
      </c>
      <c r="Y19" s="73">
        <v>1950</v>
      </c>
      <c r="Z19" s="73">
        <v>818.45779670259003</v>
      </c>
      <c r="AA19" s="74">
        <v>607.29138785315399</v>
      </c>
      <c r="AB19" s="73">
        <v>20.493663932275101</v>
      </c>
      <c r="AC19" s="72">
        <v>1.6</v>
      </c>
      <c r="AD19" s="72">
        <v>1000</v>
      </c>
      <c r="AE19" s="75">
        <v>167766.66682431599</v>
      </c>
      <c r="AF19" s="75">
        <v>1731399.97414276</v>
      </c>
      <c r="AG19" s="76">
        <f t="shared" si="4"/>
        <v>67.446383519931217</v>
      </c>
      <c r="AI19" s="72">
        <v>300</v>
      </c>
      <c r="AJ19" s="73">
        <v>1856.7880022484701</v>
      </c>
      <c r="AK19" s="73">
        <v>785.29364135983997</v>
      </c>
      <c r="AL19" s="74">
        <v>570.39256926302596</v>
      </c>
      <c r="AM19" s="73">
        <v>22.2</v>
      </c>
      <c r="AN19" s="72">
        <v>1.6</v>
      </c>
      <c r="AO19" s="72">
        <v>1000</v>
      </c>
      <c r="AP19" s="75">
        <v>181767.69172766301</v>
      </c>
      <c r="AQ19" s="75">
        <v>1744153.4375446399</v>
      </c>
      <c r="AR19" s="76">
        <f t="shared" si="2"/>
        <v>67.75594774455827</v>
      </c>
    </row>
    <row r="20" spans="2:44" x14ac:dyDescent="0.25">
      <c r="B20" s="72">
        <v>400</v>
      </c>
      <c r="C20" s="73">
        <v>2218.7357156466101</v>
      </c>
      <c r="D20" s="73">
        <v>981.652913029827</v>
      </c>
      <c r="E20" s="74">
        <v>696.63208367780601</v>
      </c>
      <c r="F20" s="73">
        <v>17.081672804232802</v>
      </c>
      <c r="G20" s="72">
        <v>1.6</v>
      </c>
      <c r="H20" s="72">
        <v>1000</v>
      </c>
      <c r="I20" s="75">
        <v>198552.78752374201</v>
      </c>
      <c r="J20" s="75">
        <v>1758121.1106912901</v>
      </c>
      <c r="K20" s="76">
        <f t="shared" si="3"/>
        <v>68.172367662002159</v>
      </c>
      <c r="M20" s="72">
        <v>400</v>
      </c>
      <c r="N20" s="73">
        <v>2112.8182698416199</v>
      </c>
      <c r="O20" s="73">
        <v>933.33440181286198</v>
      </c>
      <c r="P20" s="74">
        <v>649.34745832548901</v>
      </c>
      <c r="Q20" s="73">
        <v>18.787668368253968</v>
      </c>
      <c r="R20" s="72">
        <v>1.6</v>
      </c>
      <c r="S20" s="72">
        <v>1000</v>
      </c>
      <c r="T20" s="75">
        <v>212456.682820488</v>
      </c>
      <c r="U20" s="75">
        <v>1777195.6942487599</v>
      </c>
      <c r="V20" s="76">
        <v>68.223026127294702</v>
      </c>
      <c r="X20" s="72">
        <v>400</v>
      </c>
      <c r="Y20" s="73">
        <v>2014.0675792332199</v>
      </c>
      <c r="Z20" s="73">
        <v>897.00616558407899</v>
      </c>
      <c r="AA20" s="74">
        <v>607.29138785315399</v>
      </c>
      <c r="AB20" s="73">
        <v>20.49366393227513</v>
      </c>
      <c r="AC20" s="72">
        <v>1.6</v>
      </c>
      <c r="AD20" s="72">
        <v>1000</v>
      </c>
      <c r="AE20" s="75">
        <v>231707.16798168601</v>
      </c>
      <c r="AF20" s="75">
        <v>1795313.1431421</v>
      </c>
      <c r="AG20" s="76">
        <f t="shared" si="4"/>
        <v>68.606815066590073</v>
      </c>
      <c r="AI20" s="72">
        <v>400</v>
      </c>
      <c r="AJ20" s="73">
        <v>1924</v>
      </c>
      <c r="AK20" s="73">
        <v>865.16623992098698</v>
      </c>
      <c r="AL20" s="74">
        <v>570.39256926302596</v>
      </c>
      <c r="AM20" s="73">
        <v>22.2</v>
      </c>
      <c r="AN20" s="72">
        <v>1.6</v>
      </c>
      <c r="AO20" s="72">
        <v>1000</v>
      </c>
      <c r="AP20" s="75">
        <v>251044.369409148</v>
      </c>
      <c r="AQ20" s="75">
        <v>1813430.1170504501</v>
      </c>
      <c r="AR20" s="76">
        <f t="shared" si="2"/>
        <v>68.987735322493478</v>
      </c>
    </row>
    <row r="21" spans="2:44" x14ac:dyDescent="0.25">
      <c r="B21" s="72">
        <v>500</v>
      </c>
      <c r="C21" s="73">
        <v>2273.5933327080602</v>
      </c>
      <c r="D21" s="73">
        <v>1049.91710072142</v>
      </c>
      <c r="E21" s="74">
        <v>696.63201286972799</v>
      </c>
      <c r="F21" s="73">
        <v>17.081672804232802</v>
      </c>
      <c r="G21" s="72">
        <v>1.6</v>
      </c>
      <c r="H21" s="72">
        <v>1000</v>
      </c>
      <c r="I21" s="75">
        <v>247438.94941464701</v>
      </c>
      <c r="J21" s="75">
        <v>1812391.58096244</v>
      </c>
      <c r="K21" s="76">
        <f t="shared" si="3"/>
        <v>68.82833503078929</v>
      </c>
      <c r="M21" s="72">
        <v>500</v>
      </c>
      <c r="N21" s="73">
        <v>2172.4732981765801</v>
      </c>
      <c r="O21" s="73">
        <v>1010.86569177901</v>
      </c>
      <c r="P21" s="74">
        <v>649.34745832548901</v>
      </c>
      <c r="Q21" s="73">
        <v>18.787668368253968</v>
      </c>
      <c r="R21" s="72">
        <v>1.6</v>
      </c>
      <c r="S21" s="72">
        <v>1000</v>
      </c>
      <c r="T21" s="75">
        <v>272146.17277974403</v>
      </c>
      <c r="U21" s="75">
        <v>1836860.8144644799</v>
      </c>
      <c r="V21" s="76">
        <v>69.256536083852751</v>
      </c>
      <c r="X21" s="72">
        <v>500</v>
      </c>
      <c r="Y21" s="73">
        <v>2077.7084167684202</v>
      </c>
      <c r="Z21" s="73">
        <v>976.02328817099794</v>
      </c>
      <c r="AA21" s="74">
        <v>607.29138785315399</v>
      </c>
      <c r="AB21" s="73">
        <v>20.49366393227513</v>
      </c>
      <c r="AC21" s="72">
        <v>1.6</v>
      </c>
      <c r="AD21" s="72">
        <v>1000</v>
      </c>
      <c r="AE21" s="75">
        <v>296805.06225887599</v>
      </c>
      <c r="AF21" s="75">
        <v>1860410.75894809</v>
      </c>
      <c r="AG21" s="76">
        <f t="shared" si="4"/>
        <v>69.705308680977154</v>
      </c>
      <c r="AI21" s="72">
        <v>500</v>
      </c>
      <c r="AJ21" s="73">
        <v>1990.69345170476</v>
      </c>
      <c r="AK21" s="73">
        <v>945.48952471546295</v>
      </c>
      <c r="AL21" s="74">
        <v>570.39256926302596</v>
      </c>
      <c r="AM21" s="73">
        <v>22.2</v>
      </c>
      <c r="AN21" s="72">
        <v>1.6</v>
      </c>
      <c r="AO21" s="72">
        <v>1000</v>
      </c>
      <c r="AP21" s="75">
        <v>321575.03085149103</v>
      </c>
      <c r="AQ21" s="75">
        <v>1883960.7773134899</v>
      </c>
      <c r="AR21" s="76">
        <f t="shared" si="2"/>
        <v>70.148755046590964</v>
      </c>
    </row>
    <row r="22" spans="2:44" x14ac:dyDescent="0.25">
      <c r="B22" s="72">
        <v>600</v>
      </c>
      <c r="C22" s="73">
        <v>2327.7049729032101</v>
      </c>
      <c r="D22" s="73">
        <v>1126.1869801052501</v>
      </c>
      <c r="E22" s="74">
        <v>696.63208366051902</v>
      </c>
      <c r="F22" s="73">
        <v>17.081672804232802</v>
      </c>
      <c r="G22" s="72">
        <v>1.6</v>
      </c>
      <c r="H22" s="72">
        <v>1000</v>
      </c>
      <c r="I22" s="75">
        <v>302628.759266618</v>
      </c>
      <c r="J22" s="75">
        <v>1867581.40519612</v>
      </c>
      <c r="K22" s="76">
        <f t="shared" si="3"/>
        <v>69.749503590170164</v>
      </c>
      <c r="M22" s="72">
        <v>600</v>
      </c>
      <c r="N22" s="73">
        <v>2231.46918336009</v>
      </c>
      <c r="O22" s="73">
        <v>1088.83440131364</v>
      </c>
      <c r="P22" s="74">
        <v>649.34745832548901</v>
      </c>
      <c r="Q22" s="73">
        <v>18.787668368253968</v>
      </c>
      <c r="R22" s="72">
        <v>1.6</v>
      </c>
      <c r="S22" s="72">
        <v>1000</v>
      </c>
      <c r="T22" s="75">
        <v>332846.784236376</v>
      </c>
      <c r="U22" s="75">
        <v>1897536.6544870599</v>
      </c>
      <c r="V22" s="76">
        <v>70.240897907538425</v>
      </c>
      <c r="X22" s="72">
        <v>600</v>
      </c>
      <c r="Y22" s="73">
        <v>2140.8464297800701</v>
      </c>
      <c r="Z22" s="73">
        <v>1055.46789157898</v>
      </c>
      <c r="AA22" s="74">
        <v>607.29138785315399</v>
      </c>
      <c r="AB22" s="73">
        <v>20.49366393227513</v>
      </c>
      <c r="AC22" s="72">
        <v>1.6</v>
      </c>
      <c r="AD22" s="72">
        <v>1000</v>
      </c>
      <c r="AE22" s="75">
        <v>363005.694729715</v>
      </c>
      <c r="AF22" s="75">
        <v>1926611.39118333</v>
      </c>
      <c r="AG22" s="76">
        <f t="shared" si="4"/>
        <v>70.7462698999487</v>
      </c>
      <c r="AI22" s="72">
        <v>600</v>
      </c>
      <c r="AJ22" s="73">
        <v>2057.2642316785</v>
      </c>
      <c r="AK22" s="73">
        <v>1026.2272374449101</v>
      </c>
      <c r="AL22" s="74">
        <v>570.39256926302596</v>
      </c>
      <c r="AM22" s="73">
        <v>22.2</v>
      </c>
      <c r="AN22" s="72">
        <v>1.6</v>
      </c>
      <c r="AO22" s="72">
        <v>1000</v>
      </c>
      <c r="AP22" s="75">
        <v>393300.45988285402</v>
      </c>
      <c r="AQ22" s="75">
        <v>1955686.2062007401</v>
      </c>
      <c r="AR22" s="76">
        <f t="shared" si="2"/>
        <v>71.243559189875455</v>
      </c>
    </row>
    <row r="23" spans="2:44" x14ac:dyDescent="0.25">
      <c r="B23" s="72">
        <v>700</v>
      </c>
      <c r="C23" s="73">
        <v>2380.9051394758699</v>
      </c>
      <c r="D23" s="73">
        <v>1202.82443003052</v>
      </c>
      <c r="E23" s="74">
        <v>696.63208205317198</v>
      </c>
      <c r="F23" s="73">
        <v>17.081672804232802</v>
      </c>
      <c r="G23" s="72">
        <v>1.6</v>
      </c>
      <c r="H23" s="72">
        <v>1000</v>
      </c>
      <c r="I23" s="75">
        <v>358686.14027470897</v>
      </c>
      <c r="J23" s="75">
        <v>1923639.8379040901</v>
      </c>
      <c r="K23" s="76">
        <f t="shared" si="3"/>
        <v>70.631004489648717</v>
      </c>
      <c r="M23" s="72">
        <v>700</v>
      </c>
      <c r="N23" s="73">
        <v>2289</v>
      </c>
      <c r="O23" s="73">
        <v>1167.1766352336101</v>
      </c>
      <c r="P23" s="74">
        <v>649.34745832548901</v>
      </c>
      <c r="Q23" s="73">
        <v>18.787668368253968</v>
      </c>
      <c r="R23" s="72">
        <v>1.6</v>
      </c>
      <c r="S23" s="72">
        <v>1000</v>
      </c>
      <c r="T23" s="75">
        <v>394501.59538675402</v>
      </c>
      <c r="U23" s="75">
        <v>1959166.3002151099</v>
      </c>
      <c r="V23" s="76">
        <v>71.178316778603346</v>
      </c>
      <c r="X23" s="72">
        <v>700</v>
      </c>
      <c r="Y23" s="73">
        <v>2203.28102891867</v>
      </c>
      <c r="Z23" s="73">
        <v>1135.28183885832</v>
      </c>
      <c r="AA23" s="74">
        <v>607.29138785315399</v>
      </c>
      <c r="AB23" s="73">
        <v>20.49366393227513</v>
      </c>
      <c r="AC23" s="72">
        <v>1.6</v>
      </c>
      <c r="AD23" s="72">
        <v>1000</v>
      </c>
      <c r="AE23" s="75">
        <v>430246.985963516</v>
      </c>
      <c r="AF23" s="75">
        <v>1993852.68213035</v>
      </c>
      <c r="AG23" s="76">
        <f t="shared" si="4"/>
        <v>71.73283155681068</v>
      </c>
      <c r="AI23" s="72">
        <v>700</v>
      </c>
      <c r="AJ23" s="73">
        <v>2123.2891758466299</v>
      </c>
      <c r="AK23" s="73">
        <v>1107.32682403381</v>
      </c>
      <c r="AL23" s="74">
        <v>570.39256926302596</v>
      </c>
      <c r="AM23" s="73">
        <v>22.2</v>
      </c>
      <c r="AN23" s="72">
        <v>1.6</v>
      </c>
      <c r="AO23" s="72">
        <v>1000</v>
      </c>
      <c r="AP23" s="75">
        <v>466153.39621230197</v>
      </c>
      <c r="AQ23" s="75">
        <v>2028539.1423679299</v>
      </c>
      <c r="AR23" s="76">
        <f t="shared" si="2"/>
        <v>72.276317749572698</v>
      </c>
    </row>
    <row r="24" spans="2:44" x14ac:dyDescent="0.25">
      <c r="B24" s="72">
        <v>100</v>
      </c>
      <c r="C24" s="73">
        <v>2051</v>
      </c>
      <c r="D24" s="73">
        <v>909.44551088026697</v>
      </c>
      <c r="E24" s="74">
        <v>857.8</v>
      </c>
      <c r="F24" s="73">
        <v>19.216881904761902</v>
      </c>
      <c r="G24" s="72">
        <v>1.8</v>
      </c>
      <c r="H24" s="72">
        <v>1000</v>
      </c>
      <c r="I24" s="75">
        <v>40816.717473477103</v>
      </c>
      <c r="J24" s="75">
        <v>1801647.36208861</v>
      </c>
      <c r="K24" s="76">
        <f t="shared" si="3"/>
        <v>57.770279543877066</v>
      </c>
      <c r="M24" s="72">
        <v>100</v>
      </c>
      <c r="N24" s="73">
        <v>1931.67614644686</v>
      </c>
      <c r="O24" s="73">
        <v>852.46152477194903</v>
      </c>
      <c r="P24" s="74">
        <v>799.44417939758398</v>
      </c>
      <c r="Q24" s="73">
        <v>21.136126914285715</v>
      </c>
      <c r="R24" s="72">
        <v>1.8</v>
      </c>
      <c r="S24" s="72">
        <v>1000</v>
      </c>
      <c r="T24" s="75">
        <v>44901.1504079359</v>
      </c>
      <c r="U24" s="75">
        <v>1805321.15163574</v>
      </c>
      <c r="V24" s="76">
        <f>(S24*1000+T24)/U24*100</f>
        <v>57.878962391881728</v>
      </c>
      <c r="X24" s="72">
        <v>100</v>
      </c>
      <c r="Y24" s="73">
        <v>1822.1151297128599</v>
      </c>
      <c r="Z24" s="73">
        <v>802.23162811595398</v>
      </c>
      <c r="AA24" s="74">
        <v>748.048936884554</v>
      </c>
      <c r="AB24" s="73">
        <v>23.05537192380952</v>
      </c>
      <c r="AC24" s="72">
        <v>1.8</v>
      </c>
      <c r="AD24" s="72">
        <v>1000</v>
      </c>
      <c r="AE24" s="75">
        <v>48957.971471283097</v>
      </c>
      <c r="AF24" s="75">
        <v>1808015.2576490501</v>
      </c>
      <c r="AG24" s="76">
        <f t="shared" si="4"/>
        <v>58.01709731339524</v>
      </c>
      <c r="AI24" s="72">
        <v>100</v>
      </c>
      <c r="AJ24" s="73">
        <v>1723.22175903846</v>
      </c>
      <c r="AK24" s="73">
        <v>758.06714528069801</v>
      </c>
      <c r="AL24" s="74">
        <v>702.84649935278799</v>
      </c>
      <c r="AM24" s="73">
        <v>24.97</v>
      </c>
      <c r="AN24" s="72">
        <v>1.8</v>
      </c>
      <c r="AO24" s="72">
        <v>1000</v>
      </c>
      <c r="AP24" s="75">
        <v>53036.032435485402</v>
      </c>
      <c r="AQ24" s="75">
        <v>1810723.5654273599</v>
      </c>
      <c r="AR24" s="76">
        <f t="shared" si="2"/>
        <v>58.155538070050575</v>
      </c>
    </row>
    <row r="25" spans="2:44" x14ac:dyDescent="0.25">
      <c r="B25" s="72">
        <v>200</v>
      </c>
      <c r="C25" s="73">
        <v>2107.3025162171798</v>
      </c>
      <c r="D25" s="73">
        <v>981.79994735641003</v>
      </c>
      <c r="E25" s="74">
        <v>857.8</v>
      </c>
      <c r="F25" s="73">
        <v>19.216881904761902</v>
      </c>
      <c r="G25" s="72">
        <v>1.8</v>
      </c>
      <c r="H25" s="72">
        <v>1000</v>
      </c>
      <c r="I25" s="75">
        <v>98502.900182232494</v>
      </c>
      <c r="J25" s="75">
        <v>1859052.30439721</v>
      </c>
      <c r="K25" s="76">
        <f t="shared" si="3"/>
        <v>59.089402572695093</v>
      </c>
      <c r="M25" s="72">
        <v>200</v>
      </c>
      <c r="N25" s="73">
        <v>1992</v>
      </c>
      <c r="O25" s="73">
        <v>926.63684651343999</v>
      </c>
      <c r="P25" s="74">
        <v>799.6</v>
      </c>
      <c r="Q25" s="73">
        <v>21.136126914285715</v>
      </c>
      <c r="R25" s="72">
        <v>1.8</v>
      </c>
      <c r="S25" s="72">
        <v>1000</v>
      </c>
      <c r="T25" s="75">
        <v>108359.853767622</v>
      </c>
      <c r="U25" s="75">
        <v>1868762.7870121</v>
      </c>
      <c r="V25" s="76">
        <v>59.309820458258386</v>
      </c>
      <c r="X25" s="72">
        <v>200</v>
      </c>
      <c r="Y25" s="73">
        <v>1886.0818077204799</v>
      </c>
      <c r="Z25" s="73">
        <v>877.99934190440399</v>
      </c>
      <c r="AA25" s="74">
        <v>748.048936884554</v>
      </c>
      <c r="AB25" s="73">
        <v>23.05537192380952</v>
      </c>
      <c r="AC25" s="72">
        <v>1.8</v>
      </c>
      <c r="AD25" s="72">
        <v>1000</v>
      </c>
      <c r="AE25" s="75">
        <v>118150.171681348</v>
      </c>
      <c r="AF25" s="75">
        <v>1877207.4728951801</v>
      </c>
      <c r="AG25" s="76">
        <f t="shared" si="4"/>
        <v>59.564549354624454</v>
      </c>
      <c r="AI25" s="72">
        <v>200</v>
      </c>
      <c r="AJ25" s="73">
        <v>1789.87019560311</v>
      </c>
      <c r="AK25" s="73">
        <v>835.25089096093302</v>
      </c>
      <c r="AL25" s="74">
        <v>702.84649935278799</v>
      </c>
      <c r="AM25" s="73">
        <v>24.97</v>
      </c>
      <c r="AN25" s="72">
        <v>1.8</v>
      </c>
      <c r="AO25" s="72">
        <v>1000</v>
      </c>
      <c r="AP25" s="75">
        <v>127991.747804046</v>
      </c>
      <c r="AQ25" s="75">
        <v>1885679.2800247699</v>
      </c>
      <c r="AR25" s="76">
        <f t="shared" si="2"/>
        <v>59.818854656409485</v>
      </c>
    </row>
    <row r="26" spans="2:44" x14ac:dyDescent="0.25">
      <c r="B26" s="72">
        <v>300</v>
      </c>
      <c r="C26" s="73">
        <v>2163.27549577842</v>
      </c>
      <c r="D26" s="73">
        <v>1054.80928750271</v>
      </c>
      <c r="E26" s="74">
        <v>857.8</v>
      </c>
      <c r="F26" s="73">
        <v>19.216881904761902</v>
      </c>
      <c r="G26" s="72">
        <v>1.8</v>
      </c>
      <c r="H26" s="72">
        <v>1000</v>
      </c>
      <c r="I26" s="75">
        <v>157343.68161849101</v>
      </c>
      <c r="J26" s="75">
        <v>1917892.4495012099</v>
      </c>
      <c r="K26" s="76">
        <f t="shared" si="3"/>
        <v>60.344555917068433</v>
      </c>
      <c r="M26" s="72">
        <v>300</v>
      </c>
      <c r="N26" s="73">
        <v>2052.6824389754402</v>
      </c>
      <c r="O26" s="73">
        <v>1001.44931497282</v>
      </c>
      <c r="P26" s="74">
        <v>799.44417939758398</v>
      </c>
      <c r="Q26" s="73">
        <v>21.136126914285715</v>
      </c>
      <c r="R26" s="72">
        <v>1.8</v>
      </c>
      <c r="S26" s="72">
        <v>1000</v>
      </c>
      <c r="T26" s="75">
        <v>173088.69383435999</v>
      </c>
      <c r="U26" s="75">
        <v>1933508.9581861401</v>
      </c>
      <c r="V26" s="76">
        <v>60.671489980313083</v>
      </c>
      <c r="X26" s="72">
        <v>300</v>
      </c>
      <c r="Y26" s="73">
        <v>1950</v>
      </c>
      <c r="Z26" s="73">
        <v>954.38289664977503</v>
      </c>
      <c r="AA26" s="74">
        <v>748.048936884554</v>
      </c>
      <c r="AB26" s="73">
        <v>23.05537192380952</v>
      </c>
      <c r="AC26" s="72">
        <v>1.8</v>
      </c>
      <c r="AD26" s="72">
        <v>1000</v>
      </c>
      <c r="AE26" s="75">
        <v>188727.265510028</v>
      </c>
      <c r="AF26" s="75">
        <v>1947824.7153362399</v>
      </c>
      <c r="AG26" s="76">
        <f t="shared" si="4"/>
        <v>61.028451695399397</v>
      </c>
      <c r="AI26" s="72">
        <v>300</v>
      </c>
      <c r="AJ26" s="73">
        <v>1856.7880022484701</v>
      </c>
      <c r="AK26" s="73">
        <v>913.02554236696903</v>
      </c>
      <c r="AL26" s="74">
        <v>702.84649935278799</v>
      </c>
      <c r="AM26" s="73">
        <v>24.97</v>
      </c>
      <c r="AN26" s="72">
        <v>1.8</v>
      </c>
      <c r="AO26" s="72">
        <v>1000</v>
      </c>
      <c r="AP26" s="75">
        <v>204447.71452431299</v>
      </c>
      <c r="AQ26" s="75">
        <v>1962135.2455821</v>
      </c>
      <c r="AR26" s="76">
        <f t="shared" si="2"/>
        <v>61.384541011442536</v>
      </c>
    </row>
    <row r="27" spans="2:44" x14ac:dyDescent="0.25">
      <c r="B27" s="72">
        <v>400</v>
      </c>
      <c r="C27" s="73">
        <v>2218.7357156466101</v>
      </c>
      <c r="D27" s="73">
        <v>1128.43774794356</v>
      </c>
      <c r="E27" s="74">
        <v>857.8</v>
      </c>
      <c r="F27" s="73">
        <v>19.216881904761902</v>
      </c>
      <c r="G27" s="72">
        <v>1.8</v>
      </c>
      <c r="H27" s="72">
        <v>1000</v>
      </c>
      <c r="I27" s="75">
        <v>217311.69580791</v>
      </c>
      <c r="J27" s="75">
        <v>1977860.4636111299</v>
      </c>
      <c r="K27" s="76">
        <f t="shared" si="3"/>
        <v>61.546894647227624</v>
      </c>
      <c r="M27" s="72">
        <v>400</v>
      </c>
      <c r="N27" s="73">
        <v>2112.8182698416199</v>
      </c>
      <c r="O27" s="73">
        <v>1076.87195358542</v>
      </c>
      <c r="P27" s="74">
        <v>799.44417939758398</v>
      </c>
      <c r="Q27" s="73">
        <v>21.136126914285715</v>
      </c>
      <c r="R27" s="72">
        <v>1.8</v>
      </c>
      <c r="S27" s="72">
        <v>1000</v>
      </c>
      <c r="T27" s="75">
        <v>239057.56618510699</v>
      </c>
      <c r="U27" s="75">
        <v>1999477.5911553199</v>
      </c>
      <c r="V27" s="76">
        <v>61.969064903056307</v>
      </c>
      <c r="X27" s="72">
        <v>400</v>
      </c>
      <c r="Y27" s="73">
        <v>2014.0675792332199</v>
      </c>
      <c r="Z27" s="73">
        <v>1031.36355789032</v>
      </c>
      <c r="AA27" s="74">
        <v>748.048936884554</v>
      </c>
      <c r="AB27" s="73">
        <v>23.05537192380952</v>
      </c>
      <c r="AC27" s="72">
        <v>1.8</v>
      </c>
      <c r="AD27" s="72">
        <v>1000</v>
      </c>
      <c r="AE27" s="75">
        <v>260656.42859823699</v>
      </c>
      <c r="AF27" s="75">
        <v>2019714.0423905901</v>
      </c>
      <c r="AG27" s="76">
        <f t="shared" si="4"/>
        <v>62.417570118296986</v>
      </c>
      <c r="AI27" s="72">
        <v>400</v>
      </c>
      <c r="AJ27" s="73">
        <v>1924</v>
      </c>
      <c r="AK27" s="73">
        <v>991.37894023754802</v>
      </c>
      <c r="AL27" s="74">
        <v>702.84649935278799</v>
      </c>
      <c r="AM27" s="73">
        <v>24.97</v>
      </c>
      <c r="AN27" s="72">
        <v>1.8</v>
      </c>
      <c r="AO27" s="72">
        <v>1000</v>
      </c>
      <c r="AP27" s="75">
        <v>282368.37406065001</v>
      </c>
      <c r="AQ27" s="75">
        <v>2040055.9071657599</v>
      </c>
      <c r="AR27" s="76">
        <f t="shared" si="2"/>
        <v>62.859472113302928</v>
      </c>
    </row>
    <row r="28" spans="2:44" x14ac:dyDescent="0.25">
      <c r="B28" s="72">
        <v>500</v>
      </c>
      <c r="C28" s="73">
        <v>2273.5933327080602</v>
      </c>
      <c r="D28" s="73">
        <v>1202.62135946546</v>
      </c>
      <c r="E28" s="74">
        <v>857.8</v>
      </c>
      <c r="F28" s="73">
        <v>19.216881904761902</v>
      </c>
      <c r="G28" s="72">
        <v>1.8</v>
      </c>
      <c r="H28" s="72">
        <v>1000</v>
      </c>
      <c r="I28" s="75">
        <v>278365.19675104</v>
      </c>
      <c r="J28" s="75">
        <v>2038913.9484204999</v>
      </c>
      <c r="K28" s="76">
        <f t="shared" si="3"/>
        <v>62.6983398559493</v>
      </c>
      <c r="M28" s="72">
        <v>500</v>
      </c>
      <c r="N28" s="73">
        <v>2172.4732981765801</v>
      </c>
      <c r="O28" s="73">
        <v>1152.85613951292</v>
      </c>
      <c r="P28" s="74">
        <v>799.44417939758398</v>
      </c>
      <c r="Q28" s="73">
        <v>21.136126914285715</v>
      </c>
      <c r="R28" s="72">
        <v>1.8</v>
      </c>
      <c r="S28" s="72">
        <v>1000</v>
      </c>
      <c r="T28" s="75">
        <v>306220.54739641899</v>
      </c>
      <c r="U28" s="75">
        <v>2066640.5646178999</v>
      </c>
      <c r="V28" s="76">
        <v>63.20501831618337</v>
      </c>
      <c r="X28" s="72">
        <v>500</v>
      </c>
      <c r="Y28" s="73">
        <v>2077.7084167684202</v>
      </c>
      <c r="Z28" s="73">
        <v>1108.8973442142801</v>
      </c>
      <c r="AA28" s="74">
        <v>748.048936884554</v>
      </c>
      <c r="AB28" s="73">
        <v>23.05537192380952</v>
      </c>
      <c r="AC28" s="72">
        <v>1.8</v>
      </c>
      <c r="AD28" s="72">
        <v>1000</v>
      </c>
      <c r="AE28" s="75">
        <v>333887.58833904797</v>
      </c>
      <c r="AF28" s="75">
        <v>2092944.8889167299</v>
      </c>
      <c r="AG28" s="76">
        <f t="shared" si="4"/>
        <v>63.732571048702759</v>
      </c>
      <c r="AI28" s="72">
        <v>500</v>
      </c>
      <c r="AJ28" s="73">
        <v>1990.69345170476</v>
      </c>
      <c r="AK28" s="73">
        <v>1070.2750266553301</v>
      </c>
      <c r="AL28" s="74">
        <v>702.84649935278799</v>
      </c>
      <c r="AM28" s="73">
        <v>24.97</v>
      </c>
      <c r="AN28" s="72">
        <v>1.8</v>
      </c>
      <c r="AO28" s="72">
        <v>1000</v>
      </c>
      <c r="AP28" s="75">
        <v>361699.482899177</v>
      </c>
      <c r="AQ28" s="75">
        <v>2119387.0146789099</v>
      </c>
      <c r="AR28" s="76">
        <f t="shared" si="2"/>
        <v>64.249685096116167</v>
      </c>
    </row>
    <row r="29" spans="2:44" x14ac:dyDescent="0.25">
      <c r="B29" s="72">
        <v>600</v>
      </c>
      <c r="C29" s="73">
        <v>2327.7049729032101</v>
      </c>
      <c r="D29" s="73">
        <v>1277.26807019845</v>
      </c>
      <c r="E29" s="74">
        <v>857.8</v>
      </c>
      <c r="F29" s="73">
        <v>19.216881904761902</v>
      </c>
      <c r="G29" s="72">
        <v>1.8</v>
      </c>
      <c r="H29" s="72">
        <v>1000</v>
      </c>
      <c r="I29" s="75">
        <v>340452.92511571199</v>
      </c>
      <c r="J29" s="75">
        <v>2101001.6929973802</v>
      </c>
      <c r="K29" s="76">
        <f t="shared" si="3"/>
        <v>63.800658970596245</v>
      </c>
      <c r="M29" s="72">
        <v>600</v>
      </c>
      <c r="N29" s="73">
        <v>2231.46918336009</v>
      </c>
      <c r="O29" s="73">
        <v>1229.3227253284099</v>
      </c>
      <c r="P29" s="74">
        <v>799.44417939758398</v>
      </c>
      <c r="Q29" s="73">
        <v>21.136126914285715</v>
      </c>
      <c r="R29" s="72">
        <v>1.8</v>
      </c>
      <c r="S29" s="72">
        <v>1000</v>
      </c>
      <c r="T29" s="75">
        <v>374521.24873529398</v>
      </c>
      <c r="U29" s="75">
        <v>2134941.2705799202</v>
      </c>
      <c r="V29" s="76">
        <v>64.382157377187653</v>
      </c>
      <c r="X29" s="72">
        <v>600</v>
      </c>
      <c r="Y29" s="73">
        <v>2140.8464297800701</v>
      </c>
      <c r="Z29" s="73">
        <v>1186.9227463283801</v>
      </c>
      <c r="AA29" s="74">
        <v>748.048936884554</v>
      </c>
      <c r="AB29" s="73">
        <v>23.05537192380952</v>
      </c>
      <c r="AC29" s="72">
        <v>1.8</v>
      </c>
      <c r="AD29" s="72">
        <v>1000</v>
      </c>
      <c r="AE29" s="75">
        <v>408359.26127476501</v>
      </c>
      <c r="AF29" s="75">
        <v>2167416.5615870501</v>
      </c>
      <c r="AG29" s="76">
        <f t="shared" si="4"/>
        <v>64.978707196161707</v>
      </c>
      <c r="AI29" s="72">
        <v>600</v>
      </c>
      <c r="AJ29" s="73">
        <v>2057.2642316785</v>
      </c>
      <c r="AK29" s="73">
        <v>1149.66006105514</v>
      </c>
      <c r="AL29" s="74">
        <v>702.84649935278799</v>
      </c>
      <c r="AM29" s="73">
        <v>24.97</v>
      </c>
      <c r="AN29" s="72">
        <v>1.8</v>
      </c>
      <c r="AO29" s="72">
        <v>1000</v>
      </c>
      <c r="AP29" s="75">
        <v>442374.43618355202</v>
      </c>
      <c r="AQ29" s="75">
        <v>2200061.96780142</v>
      </c>
      <c r="AR29" s="76">
        <f t="shared" si="2"/>
        <v>65.560627713816388</v>
      </c>
    </row>
    <row r="30" spans="2:44" x14ac:dyDescent="0.25">
      <c r="B30" s="72">
        <v>700</v>
      </c>
      <c r="C30" s="73">
        <v>2380.9051394758699</v>
      </c>
      <c r="D30" s="73">
        <v>1352.2663599674299</v>
      </c>
      <c r="E30" s="74">
        <v>857.8</v>
      </c>
      <c r="F30" s="73">
        <v>19.216881904761902</v>
      </c>
      <c r="G30" s="72">
        <v>1.8</v>
      </c>
      <c r="H30" s="72">
        <v>1000</v>
      </c>
      <c r="I30" s="75">
        <v>403516.65833386499</v>
      </c>
      <c r="J30" s="75">
        <v>2164066.61000467</v>
      </c>
      <c r="K30" s="76">
        <f t="shared" si="3"/>
        <v>64.855520243475141</v>
      </c>
      <c r="M30" s="72">
        <v>700</v>
      </c>
      <c r="N30" s="73">
        <v>2289</v>
      </c>
      <c r="O30" s="73">
        <v>1306.1712043290299</v>
      </c>
      <c r="P30" s="74">
        <v>799.44417939758398</v>
      </c>
      <c r="Q30" s="73">
        <v>21.136126914285715</v>
      </c>
      <c r="R30" s="72">
        <v>1.8</v>
      </c>
      <c r="S30" s="72">
        <v>1000</v>
      </c>
      <c r="T30" s="75">
        <v>443895.62143820099</v>
      </c>
      <c r="U30" s="75">
        <v>2204315.6428213501</v>
      </c>
      <c r="V30" s="76">
        <v>65.503124570223918</v>
      </c>
      <c r="X30" s="72">
        <v>700</v>
      </c>
      <c r="Y30" s="73">
        <v>2203.28102891867</v>
      </c>
      <c r="Z30" s="73">
        <v>1265.3479361780501</v>
      </c>
      <c r="AA30" s="74">
        <v>748.048936884554</v>
      </c>
      <c r="AB30" s="73">
        <v>23.05537192380952</v>
      </c>
      <c r="AC30" s="72">
        <v>1.8</v>
      </c>
      <c r="AD30" s="72">
        <v>1000</v>
      </c>
      <c r="AE30" s="75">
        <v>484001.61183304299</v>
      </c>
      <c r="AF30" s="75">
        <v>2243058.9118214198</v>
      </c>
      <c r="AG30" s="76">
        <f t="shared" si="4"/>
        <v>66.159725186530949</v>
      </c>
      <c r="AI30" s="72">
        <v>700</v>
      </c>
      <c r="AJ30" s="73">
        <v>2123.2891758466299</v>
      </c>
      <c r="AK30" s="73">
        <v>1229.45506754082</v>
      </c>
      <c r="AL30" s="74">
        <v>702.84649935278799</v>
      </c>
      <c r="AM30" s="73">
        <v>24.97</v>
      </c>
      <c r="AN30" s="72">
        <v>1.8</v>
      </c>
      <c r="AO30" s="72">
        <v>1000</v>
      </c>
      <c r="AP30" s="75">
        <v>524317.58123518794</v>
      </c>
      <c r="AQ30" s="75">
        <v>2282005.11267028</v>
      </c>
      <c r="AR30" s="76">
        <f t="shared" si="2"/>
        <v>66.797290364153184</v>
      </c>
    </row>
    <row r="33" spans="7:32" x14ac:dyDescent="0.25">
      <c r="I33">
        <v>100</v>
      </c>
      <c r="K33">
        <v>200</v>
      </c>
      <c r="M33">
        <v>300</v>
      </c>
      <c r="O33">
        <v>400</v>
      </c>
      <c r="Q33">
        <v>500</v>
      </c>
      <c r="S33">
        <v>600</v>
      </c>
      <c r="U33">
        <v>700</v>
      </c>
      <c r="Y33" s="50">
        <v>1.2</v>
      </c>
      <c r="Z33" s="50"/>
      <c r="AA33" s="50">
        <v>1.3</v>
      </c>
      <c r="AB33" s="50"/>
      <c r="AC33" s="50">
        <v>1.6</v>
      </c>
      <c r="AD33" s="50"/>
      <c r="AE33" s="50">
        <v>1.8</v>
      </c>
      <c r="AF33" s="50"/>
    </row>
    <row r="34" spans="7:32" x14ac:dyDescent="0.25">
      <c r="G34" t="s">
        <v>94</v>
      </c>
      <c r="H34" t="s">
        <v>95</v>
      </c>
      <c r="I34" t="s">
        <v>109</v>
      </c>
      <c r="J34" t="s">
        <v>110</v>
      </c>
      <c r="K34" t="s">
        <v>109</v>
      </c>
      <c r="M34" t="s">
        <v>109</v>
      </c>
      <c r="N34" t="s">
        <v>110</v>
      </c>
      <c r="O34" t="s">
        <v>109</v>
      </c>
      <c r="P34" t="s">
        <v>110</v>
      </c>
      <c r="Q34" t="s">
        <v>109</v>
      </c>
      <c r="R34" t="s">
        <v>110</v>
      </c>
      <c r="S34" t="s">
        <v>109</v>
      </c>
      <c r="T34" t="s">
        <v>110</v>
      </c>
      <c r="U34" t="s">
        <v>109</v>
      </c>
      <c r="V34" t="s">
        <v>110</v>
      </c>
      <c r="Y34" s="50" t="s">
        <v>108</v>
      </c>
      <c r="Z34" s="50" t="s">
        <v>88</v>
      </c>
      <c r="AA34" s="50" t="s">
        <v>108</v>
      </c>
      <c r="AB34" s="50" t="s">
        <v>88</v>
      </c>
      <c r="AC34" s="50" t="s">
        <v>108</v>
      </c>
      <c r="AD34" s="50" t="s">
        <v>88</v>
      </c>
      <c r="AE34" s="50" t="s">
        <v>108</v>
      </c>
      <c r="AF34" s="50" t="s">
        <v>88</v>
      </c>
    </row>
    <row r="35" spans="7:32" x14ac:dyDescent="0.25">
      <c r="G35">
        <v>12.811254603174602</v>
      </c>
      <c r="H35">
        <v>1.2</v>
      </c>
      <c r="I35">
        <v>0</v>
      </c>
      <c r="J35">
        <v>2051</v>
      </c>
      <c r="K35">
        <v>0</v>
      </c>
      <c r="L35" s="5" t="s">
        <v>110</v>
      </c>
      <c r="M35">
        <v>0</v>
      </c>
      <c r="N35">
        <v>2163.27549577842</v>
      </c>
      <c r="O35">
        <v>0</v>
      </c>
      <c r="P35">
        <v>2218.7357156466101</v>
      </c>
      <c r="Q35">
        <v>0</v>
      </c>
      <c r="R35">
        <v>2273.5933327080602</v>
      </c>
      <c r="S35">
        <v>0</v>
      </c>
      <c r="T35">
        <v>2327.7049729032101</v>
      </c>
      <c r="U35">
        <v>0</v>
      </c>
      <c r="V35">
        <v>2380.9051394758699</v>
      </c>
      <c r="Y35" s="50">
        <v>0</v>
      </c>
      <c r="Z35" s="50">
        <v>178.8</v>
      </c>
      <c r="AA35" s="50">
        <v>0</v>
      </c>
      <c r="AB35" s="50">
        <v>344.78427137838497</v>
      </c>
      <c r="AC35" s="50">
        <v>0</v>
      </c>
      <c r="AD35" s="50">
        <v>696.63208313783605</v>
      </c>
      <c r="AE35" s="50">
        <v>0</v>
      </c>
      <c r="AF35" s="50">
        <v>857.8</v>
      </c>
    </row>
    <row r="36" spans="7:32" x14ac:dyDescent="0.25">
      <c r="G36">
        <v>13.878859153439153</v>
      </c>
      <c r="H36">
        <v>1.3</v>
      </c>
      <c r="I36">
        <v>10</v>
      </c>
      <c r="J36">
        <v>1931.67614644686</v>
      </c>
      <c r="K36">
        <v>10</v>
      </c>
      <c r="L36" s="5">
        <v>2107.3025162171798</v>
      </c>
      <c r="M36">
        <v>10</v>
      </c>
      <c r="N36">
        <v>2052.6824389754402</v>
      </c>
      <c r="O36">
        <v>10</v>
      </c>
      <c r="P36">
        <v>2112.8182698416199</v>
      </c>
      <c r="Q36">
        <v>10</v>
      </c>
      <c r="R36">
        <v>2172.4732981765801</v>
      </c>
      <c r="S36">
        <v>10</v>
      </c>
      <c r="T36">
        <v>2231.46918336009</v>
      </c>
      <c r="U36">
        <v>10</v>
      </c>
      <c r="V36">
        <v>2289</v>
      </c>
      <c r="Y36" s="50">
        <v>10</v>
      </c>
      <c r="Z36" s="50">
        <v>168.682872584823</v>
      </c>
      <c r="AA36" s="50">
        <v>10</v>
      </c>
      <c r="AB36" s="50">
        <v>322.3</v>
      </c>
      <c r="AC36" s="50">
        <v>10</v>
      </c>
      <c r="AD36" s="50">
        <v>649.34745832548901</v>
      </c>
      <c r="AE36" s="50">
        <v>10</v>
      </c>
      <c r="AF36" s="50">
        <v>799.44417939758398</v>
      </c>
    </row>
    <row r="37" spans="7:32" x14ac:dyDescent="0.25">
      <c r="G37">
        <v>17.081672804232802</v>
      </c>
      <c r="H37">
        <v>1.6</v>
      </c>
      <c r="I37">
        <v>20</v>
      </c>
      <c r="J37">
        <v>1822.1151297128599</v>
      </c>
      <c r="K37">
        <v>20</v>
      </c>
      <c r="L37" s="5">
        <v>1992</v>
      </c>
      <c r="M37">
        <v>20</v>
      </c>
      <c r="N37">
        <v>1950</v>
      </c>
      <c r="O37">
        <v>20</v>
      </c>
      <c r="P37">
        <v>2014.0675792332199</v>
      </c>
      <c r="Q37">
        <v>20</v>
      </c>
      <c r="R37">
        <v>2077.7084167684202</v>
      </c>
      <c r="S37">
        <v>20</v>
      </c>
      <c r="T37">
        <v>2140.8464297800701</v>
      </c>
      <c r="U37">
        <v>20</v>
      </c>
      <c r="V37">
        <v>2203.28102891867</v>
      </c>
      <c r="Y37" s="50">
        <v>20</v>
      </c>
      <c r="Z37" s="50">
        <v>158.57889940277099</v>
      </c>
      <c r="AA37" s="50">
        <v>20</v>
      </c>
      <c r="AB37" s="50">
        <v>301.57382989900998</v>
      </c>
      <c r="AC37" s="50">
        <v>20</v>
      </c>
      <c r="AD37" s="50">
        <v>607.29138785315399</v>
      </c>
      <c r="AE37" s="50">
        <v>20</v>
      </c>
      <c r="AF37" s="50">
        <v>748.048936884554</v>
      </c>
    </row>
    <row r="38" spans="7:32" x14ac:dyDescent="0.25">
      <c r="G38">
        <v>19.216881904761902</v>
      </c>
      <c r="H38">
        <v>1.8</v>
      </c>
      <c r="I38">
        <v>30</v>
      </c>
      <c r="J38">
        <v>1723.22175903846</v>
      </c>
      <c r="K38">
        <v>30</v>
      </c>
      <c r="L38" s="5">
        <v>1886.0818077204799</v>
      </c>
      <c r="M38">
        <v>30</v>
      </c>
      <c r="N38">
        <v>1856.7880022484701</v>
      </c>
      <c r="O38">
        <v>30</v>
      </c>
      <c r="P38">
        <v>1924</v>
      </c>
      <c r="Q38">
        <v>30</v>
      </c>
      <c r="R38">
        <v>1990.69345170476</v>
      </c>
      <c r="S38">
        <v>30</v>
      </c>
      <c r="T38">
        <v>2057.2642316785</v>
      </c>
      <c r="U38">
        <v>30</v>
      </c>
      <c r="V38">
        <v>2123.2891758466299</v>
      </c>
      <c r="Y38" s="50">
        <v>30</v>
      </c>
      <c r="Z38" s="50">
        <v>149.82494036284299</v>
      </c>
      <c r="AA38" s="50">
        <v>30</v>
      </c>
      <c r="AB38" s="50">
        <v>283.526379906388</v>
      </c>
      <c r="AC38" s="50">
        <v>30</v>
      </c>
      <c r="AD38" s="50">
        <v>570.39256926302596</v>
      </c>
      <c r="AE38" s="50">
        <v>30</v>
      </c>
      <c r="AF38" s="50">
        <v>702.84649935278799</v>
      </c>
    </row>
    <row r="39" spans="7:32" x14ac:dyDescent="0.25">
      <c r="L39" s="5">
        <v>1789.87019560311</v>
      </c>
    </row>
  </sheetData>
  <mergeCells count="4">
    <mergeCell ref="B1:K1"/>
    <mergeCell ref="M1:V1"/>
    <mergeCell ref="X1:AG1"/>
    <mergeCell ref="AI1:AR1"/>
  </mergeCells>
  <pageMargins left="0.7" right="0.7" top="0.75" bottom="0.75" header="0.3" footer="0.3"/>
  <pageSetup paperSize="9" orientation="portrait" r:id="rId1"/>
  <ignoredErrors>
    <ignoredError sqref="K10" calculatedColumn="1"/>
  </ignoredErrors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Balance de materia</vt:lpstr>
      <vt:lpstr>Air sin Precal</vt:lpstr>
      <vt:lpstr> Air con Precal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DECD</dc:creator>
  <cp:lastModifiedBy>Cristopher</cp:lastModifiedBy>
  <cp:lastPrinted>2019-09-02T00:24:14Z</cp:lastPrinted>
  <dcterms:created xsi:type="dcterms:W3CDTF">2019-09-01T21:41:48Z</dcterms:created>
  <dcterms:modified xsi:type="dcterms:W3CDTF">2019-09-23T08:07:14Z</dcterms:modified>
</cp:coreProperties>
</file>