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opher\Downloads\"/>
    </mc:Choice>
  </mc:AlternateContent>
  <xr:revisionPtr revIDLastSave="0" documentId="13_ncr:1_{57B12441-FC9E-4726-B61C-089EF9B07898}" xr6:coauthVersionLast="45" xr6:coauthVersionMax="45" xr10:uidLastSave="{00000000-0000-0000-0000-000000000000}"/>
  <bookViews>
    <workbookView xWindow="780" yWindow="780" windowWidth="15375" windowHeight="7875" firstSheet="1" activeTab="1" xr2:uid="{8A39357E-B7F3-4AD2-9B5D-05B6B0FA8A36}"/>
  </bookViews>
  <sheets>
    <sheet name="WorkBook Summary" sheetId="5" r:id="rId1"/>
    <sheet name="Material Streams" sheetId="4" r:id="rId2"/>
    <sheet name="Compositions" sheetId="3" r:id="rId3"/>
    <sheet name="Energy Streams" sheetId="2" r:id="rId4"/>
    <sheet name="Hoja1" sheetId="1" r:id="rId5"/>
  </sheets>
  <definedNames>
    <definedName name="S_1">'Material Streams'!$Z$19</definedName>
    <definedName name="S_10">'Material Streams'!$AD$19</definedName>
    <definedName name="S_11">'Material Streams'!$AE$19</definedName>
    <definedName name="S_15">'Material Streams'!$S$19</definedName>
    <definedName name="S_16">'Material Streams'!$C$19</definedName>
    <definedName name="S_17">'Material Streams'!$E$19</definedName>
    <definedName name="S_18">'Material Streams'!$F$19</definedName>
    <definedName name="S_19">'Material Streams'!$G$19</definedName>
    <definedName name="S_2">'Material Streams'!$AA$19</definedName>
    <definedName name="S_20">'Material Streams'!$H$19</definedName>
    <definedName name="S_21">'Material Streams'!$I$19</definedName>
    <definedName name="S_22">'Material Streams'!$J$19</definedName>
    <definedName name="S_23">'Material Streams'!$K$19</definedName>
    <definedName name="S_24">'Material Streams'!$O$19</definedName>
    <definedName name="S_25">'Material Streams'!$P$19</definedName>
    <definedName name="S_26">'Material Streams'!$M$19</definedName>
    <definedName name="S_27">'Material Streams'!$Q$19</definedName>
    <definedName name="S_28">'Material Streams'!$AF$19</definedName>
    <definedName name="S_29">'Material Streams'!$N$19</definedName>
    <definedName name="S_30">'Material Streams'!$L$19</definedName>
    <definedName name="S_31">'Material Streams'!$D$19</definedName>
    <definedName name="S_31A">'Material Streams'!$Y$19</definedName>
    <definedName name="S_32">'Material Streams'!$R$19</definedName>
    <definedName name="S_4">'Material Streams'!$T$19</definedName>
    <definedName name="S_5">'Material Streams'!$V$19</definedName>
    <definedName name="S_6">'Material Streams'!$W$19</definedName>
    <definedName name="S_7">'Material Streams'!$X$19</definedName>
    <definedName name="S_8">'Material Streams'!$AB$19</definedName>
    <definedName name="S_9">'Material Streams'!$AC$19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" i="4" l="1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B41" i="4"/>
  <c r="F40" i="4"/>
  <c r="G40" i="4"/>
  <c r="H40" i="4"/>
  <c r="E40" i="4"/>
  <c r="E39" i="4"/>
  <c r="I34" i="4"/>
  <c r="I39" i="4" s="1"/>
  <c r="I33" i="4"/>
  <c r="Q34" i="4"/>
  <c r="N34" i="4"/>
  <c r="G34" i="4"/>
  <c r="G39" i="4" s="1"/>
  <c r="F34" i="4"/>
  <c r="F39" i="4" s="1"/>
  <c r="N33" i="4"/>
  <c r="N36" i="4" s="1"/>
  <c r="H33" i="4"/>
  <c r="H36" i="4" s="1"/>
  <c r="F33" i="4"/>
  <c r="F36" i="4" s="1"/>
  <c r="AF19" i="4"/>
  <c r="O34" i="4" s="1"/>
  <c r="AE19" i="4"/>
  <c r="AD19" i="4"/>
  <c r="AC19" i="4"/>
  <c r="J34" i="4" s="1"/>
  <c r="AB19" i="4"/>
  <c r="M34" i="4" s="1"/>
  <c r="AA19" i="4"/>
  <c r="Z19" i="4"/>
  <c r="Y19" i="4"/>
  <c r="X19" i="4"/>
  <c r="W19" i="4"/>
  <c r="L34" i="4" s="1"/>
  <c r="V19" i="4"/>
  <c r="K34" i="4" s="1"/>
  <c r="U19" i="4"/>
  <c r="T19" i="4"/>
  <c r="S19" i="4"/>
  <c r="R19" i="4"/>
  <c r="Q19" i="4"/>
  <c r="P19" i="4"/>
  <c r="O19" i="4"/>
  <c r="C34" i="4" s="1"/>
  <c r="C39" i="4" s="1"/>
  <c r="N19" i="4"/>
  <c r="M19" i="4"/>
  <c r="P34" i="4" s="1"/>
  <c r="L19" i="4"/>
  <c r="K19" i="4"/>
  <c r="J19" i="4"/>
  <c r="I19" i="4"/>
  <c r="E34" i="4" s="1"/>
  <c r="H19" i="4"/>
  <c r="G19" i="4"/>
  <c r="F19" i="4"/>
  <c r="E19" i="4"/>
  <c r="B34" i="4" s="1"/>
  <c r="B39" i="4" s="1"/>
  <c r="D19" i="4"/>
  <c r="D34" i="4" s="1"/>
  <c r="D39" i="4" s="1"/>
  <c r="C19" i="4"/>
  <c r="AF17" i="4"/>
  <c r="AE17" i="4"/>
  <c r="AD17" i="4"/>
  <c r="AC17" i="4"/>
  <c r="O33" i="4" s="1"/>
  <c r="O36" i="4" s="1"/>
  <c r="AB17" i="4"/>
  <c r="M33" i="4" s="1"/>
  <c r="M36" i="4" s="1"/>
  <c r="AA17" i="4"/>
  <c r="Q33" i="4" s="1"/>
  <c r="Q36" i="4" s="1"/>
  <c r="Z17" i="4"/>
  <c r="Y17" i="4"/>
  <c r="X17" i="4"/>
  <c r="W17" i="4"/>
  <c r="L33" i="4" s="1"/>
  <c r="L36" i="4" s="1"/>
  <c r="V17" i="4"/>
  <c r="K33" i="4" s="1"/>
  <c r="K36" i="4" s="1"/>
  <c r="U17" i="4"/>
  <c r="T17" i="4"/>
  <c r="S17" i="4"/>
  <c r="R17" i="4"/>
  <c r="Q17" i="4"/>
  <c r="P17" i="4"/>
  <c r="O17" i="4"/>
  <c r="N17" i="4"/>
  <c r="M17" i="4"/>
  <c r="P33" i="4" s="1"/>
  <c r="P36" i="4" s="1"/>
  <c r="L17" i="4"/>
  <c r="K17" i="4"/>
  <c r="G33" i="4" s="1"/>
  <c r="G36" i="4" s="1"/>
  <c r="J17" i="4"/>
  <c r="I17" i="4"/>
  <c r="E33" i="4" s="1"/>
  <c r="E36" i="4" s="1"/>
  <c r="H17" i="4"/>
  <c r="G17" i="4"/>
  <c r="F17" i="4"/>
  <c r="E17" i="4"/>
  <c r="B33" i="4" s="1"/>
  <c r="B36" i="4" s="1"/>
  <c r="D17" i="4"/>
  <c r="D33" i="4" s="1"/>
  <c r="D36" i="4" s="1"/>
  <c r="C17" i="4"/>
  <c r="I36" i="4" l="1"/>
  <c r="O20" i="4"/>
  <c r="J33" i="4"/>
  <c r="J36" i="4" s="1"/>
  <c r="H34" i="4"/>
  <c r="H39" i="4" s="1"/>
  <c r="C33" i="4"/>
  <c r="C36" i="4" s="1"/>
  <c r="U20" i="4"/>
  <c r="X20" i="4"/>
  <c r="AF20" i="4"/>
  <c r="E20" i="4"/>
  <c r="C20" i="4"/>
  <c r="K20" i="4"/>
  <c r="S20" i="4"/>
  <c r="AA20" i="4"/>
  <c r="M20" i="4"/>
  <c r="P35" i="4" s="1"/>
  <c r="AC20" i="4"/>
  <c r="J35" i="4" s="1"/>
  <c r="D20" i="4"/>
  <c r="T20" i="4"/>
  <c r="AB20" i="4"/>
  <c r="F20" i="4"/>
  <c r="N20" i="4"/>
  <c r="V20" i="4"/>
  <c r="AD20" i="4"/>
  <c r="L20" i="4"/>
  <c r="I35" i="4" s="1"/>
  <c r="G20" i="4"/>
  <c r="W20" i="4"/>
  <c r="AE20" i="4"/>
  <c r="P20" i="4"/>
  <c r="I20" i="4"/>
  <c r="Q20" i="4"/>
  <c r="Y20" i="4"/>
  <c r="H20" i="4"/>
  <c r="R20" i="4"/>
  <c r="N35" i="4" s="1"/>
  <c r="Z20" i="4"/>
  <c r="J20" i="4"/>
  <c r="F35" i="4" l="1"/>
  <c r="Q35" i="4"/>
  <c r="L35" i="4"/>
  <c r="B35" i="4"/>
  <c r="D35" i="4"/>
  <c r="O35" i="4"/>
  <c r="K35" i="4"/>
  <c r="E35" i="4"/>
  <c r="G35" i="4"/>
  <c r="M35" i="4"/>
  <c r="C35" i="4"/>
  <c r="H35" i="4"/>
</calcChain>
</file>

<file path=xl/sharedStrings.xml><?xml version="1.0" encoding="utf-8"?>
<sst xmlns="http://schemas.openxmlformats.org/spreadsheetml/2006/main" count="117" uniqueCount="97">
  <si>
    <t>Unit</t>
  </si>
  <si>
    <t>Q124C</t>
  </si>
  <si>
    <t>Q140C</t>
  </si>
  <si>
    <t>Q117C</t>
  </si>
  <si>
    <t>Q118C</t>
  </si>
  <si>
    <t>Q119C</t>
  </si>
  <si>
    <t>4paso</t>
  </si>
  <si>
    <t>Q123C</t>
  </si>
  <si>
    <t>Q123-C</t>
  </si>
  <si>
    <t>Q125-C</t>
  </si>
  <si>
    <t>Heat Flow</t>
  </si>
  <si>
    <t>kJ/h</t>
  </si>
  <si>
    <t>&lt;empty&gt;</t>
  </si>
  <si>
    <t>N</t>
  </si>
  <si>
    <t>31A</t>
  </si>
  <si>
    <t>Comp Mole Frac (Hydrogen)</t>
  </si>
  <si>
    <t>Comp Mole Frac (Nitrogen)</t>
  </si>
  <si>
    <t>Comp Mole Frac (Methane)</t>
  </si>
  <si>
    <t>Comp Mole Frac (Argon)</t>
  </si>
  <si>
    <t>Comp Mole Frac (Ammonia)</t>
  </si>
  <si>
    <t>Vapour Fraction</t>
  </si>
  <si>
    <t>Temperature</t>
  </si>
  <si>
    <t>C</t>
  </si>
  <si>
    <t>Pressure</t>
  </si>
  <si>
    <t>kPa</t>
  </si>
  <si>
    <t>Molar Flow</t>
  </si>
  <si>
    <t>kgmole/h</t>
  </si>
  <si>
    <t>Mass Flow</t>
  </si>
  <si>
    <t>kg/h</t>
  </si>
  <si>
    <t>Liquid Volume Flow</t>
  </si>
  <si>
    <t>m3/h</t>
  </si>
  <si>
    <t>Master Comp Molar Flow (Ammonia)</t>
  </si>
  <si>
    <t>Master Comp Molar Flow (Argon)</t>
  </si>
  <si>
    <t>Master Comp Molar Flow (Hydrogen)</t>
  </si>
  <si>
    <t>Master Comp Molar Flow (Methane)</t>
  </si>
  <si>
    <t>Master Comp Molar Flow (Nitrogen)</t>
  </si>
  <si>
    <t>Molar Enthalpy</t>
  </si>
  <si>
    <t>kJ/kgmole</t>
  </si>
  <si>
    <t>Molar Entropy</t>
  </si>
  <si>
    <t>kJ/kgmole-C</t>
  </si>
  <si>
    <t>Case:</t>
  </si>
  <si>
    <t>c:\Users\Cristopher\Downloads\Exergia.hsc</t>
  </si>
  <si>
    <t>Flowsheet:</t>
  </si>
  <si>
    <t>Main</t>
  </si>
  <si>
    <t>Current Flowsheet Environment:</t>
  </si>
  <si>
    <t>Entalpia total</t>
  </si>
  <si>
    <t>Entropia total</t>
  </si>
  <si>
    <t>Exergía total</t>
  </si>
  <si>
    <t>kJ/h k</t>
  </si>
  <si>
    <t>T amb (K)</t>
  </si>
  <si>
    <t>Sistema</t>
  </si>
  <si>
    <t>Corrientes de entrada</t>
  </si>
  <si>
    <t>Corrientes de salida</t>
  </si>
  <si>
    <t>dH</t>
  </si>
  <si>
    <t>dS</t>
  </si>
  <si>
    <t>dex</t>
  </si>
  <si>
    <t>Q</t>
  </si>
  <si>
    <t>Text</t>
  </si>
  <si>
    <t>W</t>
  </si>
  <si>
    <t>dS gen</t>
  </si>
  <si>
    <t>We=W+Q*(1-Tamb/Text)</t>
  </si>
  <si>
    <t>We min</t>
  </si>
  <si>
    <t>Wp</t>
  </si>
  <si>
    <t>We=Wemin + Wp</t>
  </si>
  <si>
    <t>140-C</t>
  </si>
  <si>
    <t>117-C</t>
  </si>
  <si>
    <t>118-C</t>
  </si>
  <si>
    <t>16/31</t>
  </si>
  <si>
    <t>MEZCLADO 1</t>
  </si>
  <si>
    <t>MEZCLADO 2</t>
  </si>
  <si>
    <t>30/23</t>
  </si>
  <si>
    <t>120-C</t>
  </si>
  <si>
    <t>119-C</t>
  </si>
  <si>
    <t>4° Paso</t>
  </si>
  <si>
    <t>106-F</t>
  </si>
  <si>
    <t>121-C</t>
  </si>
  <si>
    <t>123-C</t>
  </si>
  <si>
    <t>107-F</t>
  </si>
  <si>
    <t>102-F</t>
  </si>
  <si>
    <t>139-C</t>
  </si>
  <si>
    <t>125-C</t>
  </si>
  <si>
    <t>MEZCLADOR 3</t>
  </si>
  <si>
    <t>6/7</t>
  </si>
  <si>
    <t>5/32</t>
  </si>
  <si>
    <t>6/15</t>
  </si>
  <si>
    <t>10/7</t>
  </si>
  <si>
    <t>8/11</t>
  </si>
  <si>
    <t>10/28</t>
  </si>
  <si>
    <t>26/27</t>
  </si>
  <si>
    <t>1/2</t>
  </si>
  <si>
    <t>Separadores</t>
  </si>
  <si>
    <t>Compresor</t>
  </si>
  <si>
    <t>Enfriadores y Calentadores</t>
  </si>
  <si>
    <t>Mezcladores</t>
  </si>
  <si>
    <t>26/20</t>
  </si>
  <si>
    <t>29/30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</si>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</sst>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" fontId="6" fillId="0" borderId="1" xfId="0" quotePrefix="1" applyNumberFormat="1" applyFont="1" applyBorder="1" applyAlignment="1">
      <alignment horizontal="center"/>
    </xf>
    <xf numFmtId="17" fontId="6" fillId="0" borderId="1" xfId="0" quotePrefix="1" applyNumberFormat="1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17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72C8-9D8C-4FCE-972A-54C40F275825}">
  <dimension ref="A1:B3"/>
  <sheetViews>
    <sheetView workbookViewId="0"/>
  </sheetViews>
  <sheetFormatPr baseColWidth="10" defaultRowHeight="15" x14ac:dyDescent="0.25"/>
  <sheetData>
    <row r="1" spans="1:2" x14ac:dyDescent="0.25">
      <c r="A1" s="2" t="s">
        <v>40</v>
      </c>
      <c r="B1" s="6" t="s">
        <v>41</v>
      </c>
    </row>
    <row r="2" spans="1:2" x14ac:dyDescent="0.25">
      <c r="A2" s="2" t="s">
        <v>42</v>
      </c>
      <c r="B2" s="6" t="s">
        <v>43</v>
      </c>
    </row>
    <row r="3" spans="1:2" x14ac:dyDescent="0.25">
      <c r="A3" s="2" t="s">
        <v>44</v>
      </c>
      <c r="B3" s="6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EA8D-987D-4BAB-9F4D-F6BC6A2224F8}">
  <dimension ref="A1:AF43"/>
  <sheetViews>
    <sheetView tabSelected="1" topLeftCell="A7" zoomScale="62" workbookViewId="0">
      <selection activeCell="C46" sqref="C46"/>
    </sheetView>
  </sheetViews>
  <sheetFormatPr baseColWidth="10" defaultRowHeight="15" x14ac:dyDescent="0.25"/>
  <cols>
    <col min="1" max="1" width="34" bestFit="1" customWidth="1"/>
    <col min="2" max="2" width="16.7109375" bestFit="1" customWidth="1"/>
    <col min="3" max="3" width="16" bestFit="1" customWidth="1"/>
    <col min="4" max="4" width="17.5703125" bestFit="1" customWidth="1"/>
    <col min="5" max="6" width="13.42578125" bestFit="1" customWidth="1"/>
    <col min="7" max="12" width="14.5703125" bestFit="1" customWidth="1"/>
    <col min="13" max="16" width="14.7109375" bestFit="1" customWidth="1"/>
    <col min="17" max="17" width="13.140625" bestFit="1" customWidth="1"/>
    <col min="18" max="19" width="11.5703125" bestFit="1" customWidth="1"/>
    <col min="20" max="20" width="11.7109375" bestFit="1" customWidth="1"/>
    <col min="21" max="21" width="11.5703125" bestFit="1" customWidth="1"/>
    <col min="22" max="25" width="11.7109375" bestFit="1" customWidth="1"/>
  </cols>
  <sheetData>
    <row r="1" spans="1:32" x14ac:dyDescent="0.25">
      <c r="B1" s="1" t="s">
        <v>0</v>
      </c>
      <c r="C1" s="2">
        <v>16</v>
      </c>
      <c r="D1" s="2">
        <v>31</v>
      </c>
      <c r="E1" s="2">
        <v>17</v>
      </c>
      <c r="F1" s="2">
        <v>18</v>
      </c>
      <c r="G1" s="2">
        <v>19</v>
      </c>
      <c r="H1" s="2">
        <v>20</v>
      </c>
      <c r="I1" s="2">
        <v>21</v>
      </c>
      <c r="J1" s="2">
        <v>22</v>
      </c>
      <c r="K1" s="2">
        <v>23</v>
      </c>
      <c r="L1" s="2">
        <v>30</v>
      </c>
      <c r="M1" s="2">
        <v>26</v>
      </c>
      <c r="N1" s="2">
        <v>29</v>
      </c>
      <c r="O1" s="2">
        <v>24</v>
      </c>
      <c r="P1" s="2">
        <v>25</v>
      </c>
      <c r="Q1" s="2">
        <v>27</v>
      </c>
      <c r="R1" s="2">
        <v>32</v>
      </c>
      <c r="S1" s="2">
        <v>15</v>
      </c>
      <c r="T1" s="2">
        <v>4</v>
      </c>
      <c r="U1" s="2" t="s">
        <v>13</v>
      </c>
      <c r="V1" s="2">
        <v>5</v>
      </c>
      <c r="W1" s="2">
        <v>6</v>
      </c>
      <c r="X1" s="2">
        <v>7</v>
      </c>
      <c r="Y1" s="2" t="s">
        <v>14</v>
      </c>
      <c r="Z1" s="2">
        <v>1</v>
      </c>
      <c r="AA1" s="2">
        <v>2</v>
      </c>
      <c r="AB1" s="2">
        <v>8</v>
      </c>
      <c r="AC1" s="2">
        <v>9</v>
      </c>
      <c r="AD1" s="2">
        <v>10</v>
      </c>
      <c r="AE1" s="2">
        <v>11</v>
      </c>
      <c r="AF1" s="2">
        <v>28</v>
      </c>
    </row>
    <row r="3" spans="1:32" x14ac:dyDescent="0.25">
      <c r="A3" s="3" t="s">
        <v>20</v>
      </c>
      <c r="B3" s="1"/>
      <c r="C3" s="3">
        <v>1</v>
      </c>
      <c r="D3" s="3">
        <v>0.98931528705910798</v>
      </c>
      <c r="E3" s="3">
        <v>1</v>
      </c>
      <c r="F3" s="3">
        <v>1</v>
      </c>
      <c r="G3" s="3">
        <v>1</v>
      </c>
      <c r="H3" s="3">
        <v>1</v>
      </c>
      <c r="I3" s="3">
        <v>0.96905720839085197</v>
      </c>
      <c r="J3" s="3">
        <v>0.91409028715612495</v>
      </c>
      <c r="K3" s="3">
        <v>0.89292253805219401</v>
      </c>
      <c r="L3" s="3">
        <v>0.91203802139312096</v>
      </c>
      <c r="M3" s="3">
        <v>1</v>
      </c>
      <c r="N3" s="3">
        <v>1</v>
      </c>
      <c r="O3" s="3">
        <v>0.89914806905226197</v>
      </c>
      <c r="P3" s="3">
        <v>0.88713508282128295</v>
      </c>
      <c r="Q3" s="3">
        <v>0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>
        <v>0.98931940831407805</v>
      </c>
      <c r="X3" s="3">
        <v>0.98931940831407805</v>
      </c>
      <c r="Y3" s="3">
        <v>0.98931940831407805</v>
      </c>
      <c r="Z3" s="3">
        <v>0</v>
      </c>
      <c r="AA3" s="3">
        <v>1</v>
      </c>
      <c r="AB3" s="3">
        <v>0.948235845820671</v>
      </c>
      <c r="AC3" s="3">
        <v>0.85360030008429799</v>
      </c>
      <c r="AD3" s="3">
        <v>1</v>
      </c>
      <c r="AE3" s="3">
        <v>1</v>
      </c>
      <c r="AF3" s="3">
        <v>0</v>
      </c>
    </row>
    <row r="4" spans="1:32" x14ac:dyDescent="0.25">
      <c r="A4" s="3" t="s">
        <v>21</v>
      </c>
      <c r="B4" s="1" t="s">
        <v>22</v>
      </c>
      <c r="C4" s="4">
        <v>108.9</v>
      </c>
      <c r="D4" s="4">
        <v>40.473435329312998</v>
      </c>
      <c r="E4" s="3">
        <v>50.233653548475502</v>
      </c>
      <c r="F4" s="4">
        <v>42.799999999999898</v>
      </c>
      <c r="G4" s="3">
        <v>42.8</v>
      </c>
      <c r="H4" s="3">
        <v>42.8</v>
      </c>
      <c r="I4" s="4">
        <v>24</v>
      </c>
      <c r="J4" s="4">
        <v>1</v>
      </c>
      <c r="K4" s="4">
        <v>-15.4</v>
      </c>
      <c r="L4" s="4">
        <v>-0.2</v>
      </c>
      <c r="M4" s="3">
        <v>-22</v>
      </c>
      <c r="N4" s="3">
        <v>16.940123525789101</v>
      </c>
      <c r="O4" s="3">
        <v>-9.64954724208377</v>
      </c>
      <c r="P4" s="4">
        <v>-22</v>
      </c>
      <c r="Q4" s="3">
        <v>-22</v>
      </c>
      <c r="R4" s="4">
        <v>24</v>
      </c>
      <c r="S4" s="4">
        <v>145.599999999999</v>
      </c>
      <c r="T4" s="3">
        <v>364.20099883996397</v>
      </c>
      <c r="U4" s="3">
        <v>364.20099883996397</v>
      </c>
      <c r="V4" s="4">
        <v>163.30000000000001</v>
      </c>
      <c r="W4" s="3">
        <v>40.471263328879097</v>
      </c>
      <c r="X4" s="3">
        <v>40.471263328879097</v>
      </c>
      <c r="Y4" s="3">
        <v>40.471263328879097</v>
      </c>
      <c r="Z4" s="3">
        <v>-18.272624860923099</v>
      </c>
      <c r="AA4" s="3">
        <v>-18.272624860923099</v>
      </c>
      <c r="AB4" s="4">
        <v>31.399999999999899</v>
      </c>
      <c r="AC4" s="4">
        <v>-11</v>
      </c>
      <c r="AD4" s="3">
        <v>-11</v>
      </c>
      <c r="AE4" s="3">
        <v>24.031845535970099</v>
      </c>
      <c r="AF4" s="3">
        <v>-11</v>
      </c>
    </row>
    <row r="5" spans="1:32" x14ac:dyDescent="0.25">
      <c r="A5" s="3" t="s">
        <v>23</v>
      </c>
      <c r="B5" s="1" t="s">
        <v>24</v>
      </c>
      <c r="C5" s="4">
        <v>15620</v>
      </c>
      <c r="D5" s="4">
        <v>15670</v>
      </c>
      <c r="E5" s="3">
        <v>15620</v>
      </c>
      <c r="F5" s="4">
        <v>15550</v>
      </c>
      <c r="G5" s="3">
        <v>15550</v>
      </c>
      <c r="H5" s="3">
        <v>15550</v>
      </c>
      <c r="I5" s="4">
        <v>15490</v>
      </c>
      <c r="J5" s="4">
        <v>15430</v>
      </c>
      <c r="K5" s="4">
        <v>15370</v>
      </c>
      <c r="L5" s="4">
        <v>15490</v>
      </c>
      <c r="M5" s="3">
        <v>15320</v>
      </c>
      <c r="N5" s="4">
        <v>15320</v>
      </c>
      <c r="O5" s="3">
        <v>15370</v>
      </c>
      <c r="P5" s="4">
        <v>15320</v>
      </c>
      <c r="Q5" s="3">
        <v>15320</v>
      </c>
      <c r="R5" s="3">
        <v>16314.006021105801</v>
      </c>
      <c r="S5" s="4">
        <v>16350</v>
      </c>
      <c r="T5" s="3">
        <v>15790</v>
      </c>
      <c r="U5" s="3">
        <v>15790</v>
      </c>
      <c r="V5" s="4">
        <v>15730</v>
      </c>
      <c r="W5" s="4">
        <v>15670</v>
      </c>
      <c r="X5" s="3">
        <v>15670</v>
      </c>
      <c r="Y5" s="3">
        <v>15670</v>
      </c>
      <c r="Z5" s="3">
        <v>1736</v>
      </c>
      <c r="AA5" s="3">
        <v>1736</v>
      </c>
      <c r="AB5" s="4">
        <v>15620</v>
      </c>
      <c r="AC5" s="4">
        <v>15560</v>
      </c>
      <c r="AD5" s="3">
        <v>15560</v>
      </c>
      <c r="AE5" s="4">
        <v>13730</v>
      </c>
      <c r="AF5" s="3">
        <v>15560</v>
      </c>
    </row>
    <row r="6" spans="1:32" x14ac:dyDescent="0.25">
      <c r="A6" s="3" t="s">
        <v>25</v>
      </c>
      <c r="B6" s="1" t="s">
        <v>26</v>
      </c>
      <c r="C6" s="4">
        <v>7537.1999999999898</v>
      </c>
      <c r="D6" s="4">
        <v>23270.734774242501</v>
      </c>
      <c r="E6" s="3">
        <v>30807.934774242502</v>
      </c>
      <c r="F6" s="3">
        <v>30807.934774242502</v>
      </c>
      <c r="G6" s="3">
        <v>19686.270320740899</v>
      </c>
      <c r="H6" s="3">
        <v>11121.6644535015</v>
      </c>
      <c r="I6" s="3">
        <v>19686.270320740899</v>
      </c>
      <c r="J6" s="3">
        <v>19686.270320740899</v>
      </c>
      <c r="K6" s="3">
        <v>19686.270320740899</v>
      </c>
      <c r="L6" s="3">
        <v>11121.6644535015</v>
      </c>
      <c r="M6" s="3">
        <v>27330.799767500299</v>
      </c>
      <c r="N6" s="3">
        <v>27330.799767500299</v>
      </c>
      <c r="O6" s="3">
        <v>30807.934774242502</v>
      </c>
      <c r="P6" s="3">
        <v>30807.934774242502</v>
      </c>
      <c r="Q6" s="3">
        <v>3477.1350067421699</v>
      </c>
      <c r="R6" s="3">
        <v>27330.799767500299</v>
      </c>
      <c r="S6" s="3">
        <v>27330.799767500299</v>
      </c>
      <c r="T6" s="3">
        <v>23785.3437132092</v>
      </c>
      <c r="U6" s="3">
        <v>0</v>
      </c>
      <c r="V6" s="3">
        <v>23785.3437132092</v>
      </c>
      <c r="W6" s="3">
        <v>23785.3437132092</v>
      </c>
      <c r="X6" s="3">
        <v>514.71483795384802</v>
      </c>
      <c r="Y6" s="3">
        <v>23270.628875255399</v>
      </c>
      <c r="Z6" s="3">
        <v>3531.6001307761198</v>
      </c>
      <c r="AA6" s="3">
        <v>20.8889737846518</v>
      </c>
      <c r="AB6" s="3">
        <v>514.71483795384802</v>
      </c>
      <c r="AC6" s="3">
        <v>514.71483795384802</v>
      </c>
      <c r="AD6" s="3">
        <v>439.36074013524598</v>
      </c>
      <c r="AE6" s="3">
        <v>439.36074013524598</v>
      </c>
      <c r="AF6" s="3">
        <v>75.354097818602298</v>
      </c>
    </row>
    <row r="7" spans="1:32" x14ac:dyDescent="0.25">
      <c r="A7" s="3" t="s">
        <v>27</v>
      </c>
      <c r="B7" s="1" t="s">
        <v>28</v>
      </c>
      <c r="C7" s="3">
        <v>65526.2485280275</v>
      </c>
      <c r="D7" s="3">
        <v>288575.438560988</v>
      </c>
      <c r="E7" s="3">
        <v>354101.68708901497</v>
      </c>
      <c r="F7" s="3">
        <v>354101.68708901497</v>
      </c>
      <c r="G7" s="3">
        <v>226270.97804988001</v>
      </c>
      <c r="H7" s="3">
        <v>127830.709039134</v>
      </c>
      <c r="I7" s="3">
        <v>226270.97804988001</v>
      </c>
      <c r="J7" s="3">
        <v>226270.97804988001</v>
      </c>
      <c r="K7" s="3">
        <v>226270.97804988001</v>
      </c>
      <c r="L7" s="3">
        <v>127830.709039134</v>
      </c>
      <c r="M7" s="3">
        <v>294984.87706001801</v>
      </c>
      <c r="N7" s="3">
        <v>294984.87706001801</v>
      </c>
      <c r="O7" s="3">
        <v>354101.68708901497</v>
      </c>
      <c r="P7" s="3">
        <v>354101.68708901497</v>
      </c>
      <c r="Q7" s="3">
        <v>59116.810028996799</v>
      </c>
      <c r="R7" s="3">
        <v>294984.87706001801</v>
      </c>
      <c r="S7" s="3">
        <v>294984.87706001801</v>
      </c>
      <c r="T7" s="3">
        <v>294983.10572843102</v>
      </c>
      <c r="U7" s="3">
        <v>0</v>
      </c>
      <c r="V7" s="3">
        <v>294983.10572843102</v>
      </c>
      <c r="W7" s="3">
        <v>294983.10572843102</v>
      </c>
      <c r="X7" s="3">
        <v>6383.4344079632501</v>
      </c>
      <c r="Y7" s="3">
        <v>288599.67132046801</v>
      </c>
      <c r="Z7" s="3">
        <v>60136.0628364679</v>
      </c>
      <c r="AA7" s="3">
        <v>261.656880356898</v>
      </c>
      <c r="AB7" s="3">
        <v>6383.4344079632501</v>
      </c>
      <c r="AC7" s="3">
        <v>6383.4344079632501</v>
      </c>
      <c r="AD7" s="3">
        <v>5102.5247201352404</v>
      </c>
      <c r="AE7" s="3">
        <v>5102.5247201352404</v>
      </c>
      <c r="AF7" s="3">
        <v>1280.909687828</v>
      </c>
    </row>
    <row r="8" spans="1:32" x14ac:dyDescent="0.25">
      <c r="A8" s="3" t="s">
        <v>29</v>
      </c>
      <c r="B8" s="1" t="s">
        <v>30</v>
      </c>
      <c r="C8" s="3">
        <v>229.65788481334999</v>
      </c>
      <c r="D8" s="3">
        <v>737.87987699384098</v>
      </c>
      <c r="E8" s="3">
        <v>967.53776180719103</v>
      </c>
      <c r="F8" s="3">
        <v>967.53776180719103</v>
      </c>
      <c r="G8" s="3">
        <v>618.256629794795</v>
      </c>
      <c r="H8" s="3">
        <v>349.28113201239597</v>
      </c>
      <c r="I8" s="3">
        <v>618.256629794795</v>
      </c>
      <c r="J8" s="3">
        <v>618.256629794795</v>
      </c>
      <c r="K8" s="3">
        <v>618.256629794795</v>
      </c>
      <c r="L8" s="3">
        <v>349.28113201239597</v>
      </c>
      <c r="M8" s="3">
        <v>871.26618763308602</v>
      </c>
      <c r="N8" s="3">
        <v>871.26618763308602</v>
      </c>
      <c r="O8" s="3">
        <v>967.53776180719103</v>
      </c>
      <c r="P8" s="3">
        <v>967.53776180719103</v>
      </c>
      <c r="Q8" s="3">
        <v>96.271574174105396</v>
      </c>
      <c r="R8" s="3">
        <v>871.26618763308602</v>
      </c>
      <c r="S8" s="3">
        <v>871.26618763308602</v>
      </c>
      <c r="T8" s="3">
        <v>754.21685841504097</v>
      </c>
      <c r="U8" s="3">
        <v>0</v>
      </c>
      <c r="V8" s="3">
        <v>754.21685841504097</v>
      </c>
      <c r="W8" s="3">
        <v>754.21685841504097</v>
      </c>
      <c r="X8" s="3">
        <v>16.321252816101499</v>
      </c>
      <c r="Y8" s="3">
        <v>737.89560559894005</v>
      </c>
      <c r="Z8" s="3">
        <v>97.668345264025405</v>
      </c>
      <c r="AA8" s="3">
        <v>0.69138458255951996</v>
      </c>
      <c r="AB8" s="3">
        <v>16.321252816101499</v>
      </c>
      <c r="AC8" s="3">
        <v>16.321252816101499</v>
      </c>
      <c r="AD8" s="3">
        <v>14.233097143622</v>
      </c>
      <c r="AE8" s="3">
        <v>14.233097143622</v>
      </c>
      <c r="AF8" s="3">
        <v>2.0881556724794899</v>
      </c>
    </row>
    <row r="9" spans="1:32" x14ac:dyDescent="0.25">
      <c r="A9" s="3" t="s">
        <v>10</v>
      </c>
      <c r="B9" s="1" t="s">
        <v>11</v>
      </c>
      <c r="C9" s="3">
        <v>14697799.067882501</v>
      </c>
      <c r="D9" s="3">
        <v>-331463282.469042</v>
      </c>
      <c r="E9" s="3">
        <v>-316765483.40115899</v>
      </c>
      <c r="F9" s="3">
        <v>-324362479.39691103</v>
      </c>
      <c r="G9" s="3">
        <v>-207267624.33462599</v>
      </c>
      <c r="H9" s="3">
        <v>-117094855.06228501</v>
      </c>
      <c r="I9" s="3">
        <v>-230076939.16843799</v>
      </c>
      <c r="J9" s="3">
        <v>-265690438.49924001</v>
      </c>
      <c r="K9" s="3">
        <v>-285582835.82485998</v>
      </c>
      <c r="L9" s="3">
        <v>-151026434.057735</v>
      </c>
      <c r="M9" s="3">
        <v>-214920711.94674501</v>
      </c>
      <c r="N9" s="3">
        <v>-180989132.95129499</v>
      </c>
      <c r="O9" s="3">
        <v>-436609269.882595</v>
      </c>
      <c r="P9" s="3">
        <v>-458015909.32685697</v>
      </c>
      <c r="Q9" s="3">
        <v>-243095197.38011101</v>
      </c>
      <c r="R9" s="3">
        <v>-175191101.944051</v>
      </c>
      <c r="S9" s="3">
        <v>-71657158.996249303</v>
      </c>
      <c r="T9" s="3">
        <v>-71657159.061180905</v>
      </c>
      <c r="U9" s="3">
        <v>0</v>
      </c>
      <c r="V9" s="3">
        <v>-235310922.376984</v>
      </c>
      <c r="W9" s="3">
        <v>-338844865.32478601</v>
      </c>
      <c r="X9" s="3">
        <v>-7332602.8856283799</v>
      </c>
      <c r="Y9" s="3">
        <v>-331512262.43915802</v>
      </c>
      <c r="Z9" s="3">
        <v>-247927041.47966999</v>
      </c>
      <c r="AA9" s="3">
        <v>-364706.91884992801</v>
      </c>
      <c r="AB9" s="3">
        <v>-7842160.8034319701</v>
      </c>
      <c r="AC9" s="3">
        <v>-9546503.3615768291</v>
      </c>
      <c r="AD9" s="3">
        <v>-4349952.3431675704</v>
      </c>
      <c r="AE9" s="3">
        <v>-3840394.4253639798</v>
      </c>
      <c r="AF9" s="3">
        <v>-5196551.0184092596</v>
      </c>
    </row>
    <row r="10" spans="1:32" s="9" customFormat="1" x14ac:dyDescent="0.25">
      <c r="A10" s="3" t="s">
        <v>36</v>
      </c>
      <c r="B10" s="1" t="s">
        <v>37</v>
      </c>
      <c r="C10" s="3">
        <v>1950.0343718997101</v>
      </c>
      <c r="D10" s="3">
        <v>-14243.782402433</v>
      </c>
      <c r="E10" s="3">
        <v>-10281.944756192999</v>
      </c>
      <c r="F10" s="3">
        <v>-10528.536942635301</v>
      </c>
      <c r="G10" s="3">
        <v>-10528.536942635301</v>
      </c>
      <c r="H10" s="3">
        <v>-10528.536942635301</v>
      </c>
      <c r="I10" s="3">
        <v>-11687.1776837299</v>
      </c>
      <c r="J10" s="3">
        <v>-13496.2303255236</v>
      </c>
      <c r="K10" s="3">
        <v>-14506.700922620999</v>
      </c>
      <c r="L10" s="3">
        <v>-13579.481262823499</v>
      </c>
      <c r="M10" s="3">
        <v>-7863.6817720318804</v>
      </c>
      <c r="N10" s="3">
        <v>-6622.16746275071</v>
      </c>
      <c r="O10" s="3">
        <v>-14171.974625434101</v>
      </c>
      <c r="P10" s="3">
        <v>-14866.8163797136</v>
      </c>
      <c r="Q10" s="3">
        <v>-69912.498913257295</v>
      </c>
      <c r="R10" s="3">
        <v>-6410.0247133044204</v>
      </c>
      <c r="S10" s="3">
        <v>-2621.8464006113099</v>
      </c>
      <c r="T10" s="3">
        <v>-3012.6602299796</v>
      </c>
      <c r="U10" s="3">
        <v>-2944.7594637529</v>
      </c>
      <c r="V10" s="3">
        <v>-9893.1058224020198</v>
      </c>
      <c r="W10" s="3">
        <v>-14245.9520203026</v>
      </c>
      <c r="X10" s="3">
        <v>-14245.9520203026</v>
      </c>
      <c r="Y10" s="3">
        <v>-14245.9520203026</v>
      </c>
      <c r="Z10" s="3">
        <v>-70202.466955165903</v>
      </c>
      <c r="AA10" s="3">
        <v>-17459.302817350199</v>
      </c>
      <c r="AB10" s="3">
        <v>-15235.9330354784</v>
      </c>
      <c r="AC10" s="3">
        <v>-18547.169534741101</v>
      </c>
      <c r="AD10" s="3">
        <v>-9900.6396015914906</v>
      </c>
      <c r="AE10" s="3">
        <v>-8740.8684357683305</v>
      </c>
      <c r="AF10" s="3">
        <v>-68961.757473611506</v>
      </c>
    </row>
    <row r="11" spans="1:32" s="9" customFormat="1" x14ac:dyDescent="0.25">
      <c r="A11" s="3" t="s">
        <v>38</v>
      </c>
      <c r="B11" s="1" t="s">
        <v>39</v>
      </c>
      <c r="C11" s="3">
        <v>99.503639678018203</v>
      </c>
      <c r="D11" s="3">
        <v>108.547805121698</v>
      </c>
      <c r="E11" s="3">
        <v>106.97577685004801</v>
      </c>
      <c r="F11" s="3">
        <v>106.241690353189</v>
      </c>
      <c r="G11" s="3">
        <v>106.241690353189</v>
      </c>
      <c r="H11" s="3">
        <v>106.241690353189</v>
      </c>
      <c r="I11" s="3">
        <v>102.462629217556</v>
      </c>
      <c r="J11" s="3">
        <v>96.168234708519904</v>
      </c>
      <c r="K11" s="3">
        <v>92.399769749314103</v>
      </c>
      <c r="L11" s="3">
        <v>95.833033664829102</v>
      </c>
      <c r="M11" s="3">
        <v>93.973625614941298</v>
      </c>
      <c r="N11" s="3">
        <v>98.575190092110503</v>
      </c>
      <c r="O11" s="3">
        <v>93.684754236043503</v>
      </c>
      <c r="P11" s="3">
        <v>91.009067144779607</v>
      </c>
      <c r="Q11" s="3">
        <v>67.707195405566097</v>
      </c>
      <c r="R11" s="3">
        <v>98.754323476612996</v>
      </c>
      <c r="S11" s="3">
        <v>109.43311409471499</v>
      </c>
      <c r="T11" s="3">
        <v>133.24856966485299</v>
      </c>
      <c r="U11" s="3">
        <v>133.158153490628</v>
      </c>
      <c r="V11" s="3">
        <v>120.32676157389901</v>
      </c>
      <c r="W11" s="3">
        <v>108.54972900007699</v>
      </c>
      <c r="X11" s="3">
        <v>108.54972900007699</v>
      </c>
      <c r="Y11" s="3">
        <v>108.54972900007699</v>
      </c>
      <c r="Z11" s="3">
        <v>69.053192441501395</v>
      </c>
      <c r="AA11" s="3">
        <v>124.162622088502</v>
      </c>
      <c r="AB11" s="3">
        <v>105.372877103658</v>
      </c>
      <c r="AC11" s="3">
        <v>93.767512365692994</v>
      </c>
      <c r="AD11" s="3">
        <v>97.651632208224797</v>
      </c>
      <c r="AE11" s="3">
        <v>102.87324041045299</v>
      </c>
      <c r="AF11" s="3">
        <v>71.120704584955803</v>
      </c>
    </row>
    <row r="12" spans="1:32" s="9" customFormat="1" x14ac:dyDescent="0.25">
      <c r="A12" s="3" t="s">
        <v>31</v>
      </c>
      <c r="B12" s="1" t="s">
        <v>26</v>
      </c>
      <c r="C12" s="4">
        <v>0</v>
      </c>
      <c r="D12" s="4">
        <v>4056.2158552902501</v>
      </c>
      <c r="E12" s="3">
        <v>4056.2158552902501</v>
      </c>
      <c r="F12" s="3">
        <v>4056.2158552902501</v>
      </c>
      <c r="G12" s="3">
        <v>2591.9219315304699</v>
      </c>
      <c r="H12" s="3">
        <v>1464.29392375978</v>
      </c>
      <c r="I12" s="3">
        <v>2591.9219315304699</v>
      </c>
      <c r="J12" s="3">
        <v>2591.9219315304699</v>
      </c>
      <c r="K12" s="3">
        <v>2591.9219315304699</v>
      </c>
      <c r="L12" s="3">
        <v>1464.29392375978</v>
      </c>
      <c r="M12" s="3">
        <v>600.192689615674</v>
      </c>
      <c r="N12" s="3">
        <v>600.192689615674</v>
      </c>
      <c r="O12" s="3">
        <v>4056.2158552902501</v>
      </c>
      <c r="P12" s="3">
        <v>4056.2158552902501</v>
      </c>
      <c r="Q12" s="3">
        <v>3456.02316567457</v>
      </c>
      <c r="R12" s="3">
        <v>600.192689615674</v>
      </c>
      <c r="S12" s="3">
        <v>600.192689615674</v>
      </c>
      <c r="T12" s="3">
        <v>4145.6487439067396</v>
      </c>
      <c r="U12" s="3">
        <v>0</v>
      </c>
      <c r="V12" s="3">
        <v>4145.6487439067396</v>
      </c>
      <c r="W12" s="3">
        <v>4145.6487439067396</v>
      </c>
      <c r="X12" s="3">
        <v>89.711838818141899</v>
      </c>
      <c r="Y12" s="3">
        <v>4055.9369050885998</v>
      </c>
      <c r="Z12" s="3">
        <v>3528.02949969671</v>
      </c>
      <c r="AA12" s="3">
        <v>2.72170373611947</v>
      </c>
      <c r="AB12" s="3">
        <v>89.711838818141899</v>
      </c>
      <c r="AC12" s="3">
        <v>89.711838818141899</v>
      </c>
      <c r="AD12" s="3">
        <v>14.9838010598881</v>
      </c>
      <c r="AE12" s="3">
        <v>14.9838010598881</v>
      </c>
      <c r="AF12" s="3">
        <v>74.728037758253606</v>
      </c>
    </row>
    <row r="13" spans="1:32" s="9" customFormat="1" x14ac:dyDescent="0.25">
      <c r="A13" s="3" t="s">
        <v>32</v>
      </c>
      <c r="B13" s="1" t="s">
        <v>26</v>
      </c>
      <c r="C13" s="4">
        <v>25.6</v>
      </c>
      <c r="D13" s="4">
        <v>1065.9209099924101</v>
      </c>
      <c r="E13" s="3">
        <v>1091.52090999241</v>
      </c>
      <c r="F13" s="3">
        <v>1091.52090999241</v>
      </c>
      <c r="G13" s="3">
        <v>697.48186148515197</v>
      </c>
      <c r="H13" s="3">
        <v>394.03904850726099</v>
      </c>
      <c r="I13" s="3">
        <v>697.48186148515197</v>
      </c>
      <c r="J13" s="3">
        <v>697.48186148515197</v>
      </c>
      <c r="K13" s="3">
        <v>697.48186148515197</v>
      </c>
      <c r="L13" s="3">
        <v>394.03904850726099</v>
      </c>
      <c r="M13" s="3">
        <v>1090.16824893649</v>
      </c>
      <c r="N13" s="3">
        <v>1090.16824893649</v>
      </c>
      <c r="O13" s="3">
        <v>1091.52090999241</v>
      </c>
      <c r="P13" s="3">
        <v>1091.52090999241</v>
      </c>
      <c r="Q13" s="3">
        <v>1.3526610559216701</v>
      </c>
      <c r="R13" s="3">
        <v>1090.16824893649</v>
      </c>
      <c r="S13" s="3">
        <v>1090.16824893649</v>
      </c>
      <c r="T13" s="3">
        <v>1090.16824893649</v>
      </c>
      <c r="U13" s="3">
        <v>0</v>
      </c>
      <c r="V13" s="3">
        <v>1090.16824893649</v>
      </c>
      <c r="W13" s="3">
        <v>1090.16824893649</v>
      </c>
      <c r="X13" s="3">
        <v>23.5912409069857</v>
      </c>
      <c r="Y13" s="3">
        <v>1066.5770080294999</v>
      </c>
      <c r="Z13" s="3">
        <v>0.30169621530804902</v>
      </c>
      <c r="AA13" s="3">
        <v>1.10116606303276</v>
      </c>
      <c r="AB13" s="3">
        <v>23.5912409069857</v>
      </c>
      <c r="AC13" s="3">
        <v>23.5912409069857</v>
      </c>
      <c r="AD13" s="3">
        <v>23.541039684566499</v>
      </c>
      <c r="AE13" s="3">
        <v>23.541039684566499</v>
      </c>
      <c r="AF13" s="3">
        <v>5.0201222419135799E-2</v>
      </c>
    </row>
    <row r="14" spans="1:32" s="9" customFormat="1" x14ac:dyDescent="0.25">
      <c r="A14" s="3" t="s">
        <v>33</v>
      </c>
      <c r="B14" s="1" t="s">
        <v>26</v>
      </c>
      <c r="C14" s="4">
        <v>5592.1</v>
      </c>
      <c r="D14" s="4">
        <v>11913.356241114199</v>
      </c>
      <c r="E14" s="3">
        <v>17505.4562411142</v>
      </c>
      <c r="F14" s="3">
        <v>17505.4562411142</v>
      </c>
      <c r="G14" s="3">
        <v>11185.986538072</v>
      </c>
      <c r="H14" s="3">
        <v>6319.4697030422503</v>
      </c>
      <c r="I14" s="3">
        <v>11185.986538072</v>
      </c>
      <c r="J14" s="3">
        <v>11185.986538072</v>
      </c>
      <c r="K14" s="3">
        <v>11185.986538072</v>
      </c>
      <c r="L14" s="3">
        <v>6319.4697030422503</v>
      </c>
      <c r="M14" s="3">
        <v>17494.026583673</v>
      </c>
      <c r="N14" s="3">
        <v>17494.026583673</v>
      </c>
      <c r="O14" s="3">
        <v>17505.4562411142</v>
      </c>
      <c r="P14" s="3">
        <v>17505.4562411142</v>
      </c>
      <c r="Q14" s="3">
        <v>11.4296574412427</v>
      </c>
      <c r="R14" s="3">
        <v>17494.026583673</v>
      </c>
      <c r="S14" s="3">
        <v>17494.026583673</v>
      </c>
      <c r="T14" s="3">
        <v>12175.842502236401</v>
      </c>
      <c r="U14" s="3">
        <v>0</v>
      </c>
      <c r="V14" s="3">
        <v>12175.842502236401</v>
      </c>
      <c r="W14" s="3">
        <v>12175.842502236401</v>
      </c>
      <c r="X14" s="3">
        <v>263.48523174839602</v>
      </c>
      <c r="Y14" s="3">
        <v>11912.357270488001</v>
      </c>
      <c r="Z14" s="3">
        <v>1.2342091613922499</v>
      </c>
      <c r="AA14" s="3">
        <v>10.505600811089</v>
      </c>
      <c r="AB14" s="3">
        <v>263.48523174839602</v>
      </c>
      <c r="AC14" s="3">
        <v>263.48523174839602</v>
      </c>
      <c r="AD14" s="3">
        <v>263.17507921715799</v>
      </c>
      <c r="AE14" s="3">
        <v>263.17507921715799</v>
      </c>
      <c r="AF14" s="3">
        <v>0.310152531238505</v>
      </c>
    </row>
    <row r="15" spans="1:32" x14ac:dyDescent="0.25">
      <c r="A15" s="3" t="s">
        <v>34</v>
      </c>
      <c r="B15" s="1" t="s">
        <v>26</v>
      </c>
      <c r="C15" s="4">
        <v>45.2</v>
      </c>
      <c r="D15" s="4">
        <v>1818.57187988906</v>
      </c>
      <c r="E15" s="3">
        <v>1863.7718798890601</v>
      </c>
      <c r="F15" s="3">
        <v>1863.7718798890601</v>
      </c>
      <c r="G15" s="3">
        <v>1190.9502312490999</v>
      </c>
      <c r="H15" s="3">
        <v>672.82164863995001</v>
      </c>
      <c r="I15" s="3">
        <v>1190.9502312490999</v>
      </c>
      <c r="J15" s="3">
        <v>1190.9502312490999</v>
      </c>
      <c r="K15" s="3">
        <v>1190.9502312490999</v>
      </c>
      <c r="L15" s="3">
        <v>672.82164863995001</v>
      </c>
      <c r="M15" s="3">
        <v>1859.6215327894499</v>
      </c>
      <c r="N15" s="3">
        <v>1859.6215327894499</v>
      </c>
      <c r="O15" s="3">
        <v>1863.7718798890601</v>
      </c>
      <c r="P15" s="3">
        <v>1863.7718798890601</v>
      </c>
      <c r="Q15" s="3">
        <v>4.1503470996060496</v>
      </c>
      <c r="R15" s="3">
        <v>1859.6215327894499</v>
      </c>
      <c r="S15" s="3">
        <v>1859.6215327894499</v>
      </c>
      <c r="T15" s="3">
        <v>1859.6215327894499</v>
      </c>
      <c r="U15" s="3">
        <v>0</v>
      </c>
      <c r="V15" s="3">
        <v>1859.6215327894499</v>
      </c>
      <c r="W15" s="3">
        <v>1859.6215327894499</v>
      </c>
      <c r="X15" s="3">
        <v>40.242209969563802</v>
      </c>
      <c r="Y15" s="3">
        <v>1819.3793228198899</v>
      </c>
      <c r="Z15" s="3">
        <v>1.4887982603911201</v>
      </c>
      <c r="AA15" s="3">
        <v>2.8104852211573701</v>
      </c>
      <c r="AB15" s="3">
        <v>40.242209969563802</v>
      </c>
      <c r="AC15" s="3">
        <v>40.242209969563802</v>
      </c>
      <c r="AD15" s="3">
        <v>40.093273587621297</v>
      </c>
      <c r="AE15" s="3">
        <v>40.093273587621297</v>
      </c>
      <c r="AF15" s="3">
        <v>0.148936381942437</v>
      </c>
    </row>
    <row r="16" spans="1:32" x14ac:dyDescent="0.25">
      <c r="A16" s="3" t="s">
        <v>35</v>
      </c>
      <c r="B16" s="1" t="s">
        <v>26</v>
      </c>
      <c r="C16" s="4">
        <v>1874.3</v>
      </c>
      <c r="D16" s="4">
        <v>4416.6698879565101</v>
      </c>
      <c r="E16" s="3">
        <v>6290.9698879565103</v>
      </c>
      <c r="F16" s="3">
        <v>6290.9698879565103</v>
      </c>
      <c r="G16" s="3">
        <v>4019.9297584042101</v>
      </c>
      <c r="H16" s="3">
        <v>2271.0401295523002</v>
      </c>
      <c r="I16" s="3">
        <v>4019.9297584042101</v>
      </c>
      <c r="J16" s="3">
        <v>4019.9297584042101</v>
      </c>
      <c r="K16" s="3">
        <v>4019.9297584042101</v>
      </c>
      <c r="L16" s="3">
        <v>2271.0401295523002</v>
      </c>
      <c r="M16" s="3">
        <v>6286.7907124856802</v>
      </c>
      <c r="N16" s="3">
        <v>6286.7907124856802</v>
      </c>
      <c r="O16" s="3">
        <v>6290.9698879565103</v>
      </c>
      <c r="P16" s="3">
        <v>6290.9698879565103</v>
      </c>
      <c r="Q16" s="3">
        <v>4.1791754708259399</v>
      </c>
      <c r="R16" s="3">
        <v>6286.7907124856802</v>
      </c>
      <c r="S16" s="3">
        <v>6286.7907124856802</v>
      </c>
      <c r="T16" s="3">
        <v>4514.06268534015</v>
      </c>
      <c r="U16" s="3">
        <v>0</v>
      </c>
      <c r="V16" s="3">
        <v>4514.06268534015</v>
      </c>
      <c r="W16" s="3">
        <v>4514.06268534015</v>
      </c>
      <c r="X16" s="3">
        <v>97.684316510760894</v>
      </c>
      <c r="Y16" s="3">
        <v>4416.3783688293897</v>
      </c>
      <c r="Z16" s="3">
        <v>0.54592744232135704</v>
      </c>
      <c r="AA16" s="3">
        <v>3.7500179532532401</v>
      </c>
      <c r="AB16" s="3">
        <v>97.684316510760894</v>
      </c>
      <c r="AC16" s="3">
        <v>97.684316510760894</v>
      </c>
      <c r="AD16" s="3">
        <v>97.567546586012298</v>
      </c>
      <c r="AE16" s="3">
        <v>97.567546586012298</v>
      </c>
      <c r="AF16" s="3">
        <v>0.116769924748655</v>
      </c>
    </row>
    <row r="17" spans="1:32" x14ac:dyDescent="0.25">
      <c r="A17" s="3" t="s">
        <v>45</v>
      </c>
      <c r="B17" s="7" t="s">
        <v>11</v>
      </c>
      <c r="C17" s="13">
        <f>C10*C6</f>
        <v>14697799.067882475</v>
      </c>
      <c r="D17" s="13">
        <f t="shared" ref="D17:AF17" si="0">D10*D6</f>
        <v>-331463282.46904099</v>
      </c>
      <c r="E17" s="13">
        <f t="shared" si="0"/>
        <v>-316765483.40115863</v>
      </c>
      <c r="F17" s="13">
        <f t="shared" si="0"/>
        <v>-324362479.39691091</v>
      </c>
      <c r="G17" s="13">
        <f t="shared" si="0"/>
        <v>-207267624.33462545</v>
      </c>
      <c r="H17" s="13">
        <f t="shared" si="0"/>
        <v>-117094855.0622844</v>
      </c>
      <c r="I17" s="13">
        <f t="shared" si="0"/>
        <v>-230076939.1684373</v>
      </c>
      <c r="J17" s="13">
        <f t="shared" si="0"/>
        <v>-265690438.49923855</v>
      </c>
      <c r="K17" s="13">
        <f t="shared" si="0"/>
        <v>-285582835.82485843</v>
      </c>
      <c r="L17" s="13">
        <f t="shared" si="0"/>
        <v>-151026434.05773377</v>
      </c>
      <c r="M17" s="13">
        <f t="shared" si="0"/>
        <v>-214920711.94674525</v>
      </c>
      <c r="N17" s="13">
        <f t="shared" si="0"/>
        <v>-180989132.95129514</v>
      </c>
      <c r="O17" s="13">
        <f t="shared" si="0"/>
        <v>-436609269.88259357</v>
      </c>
      <c r="P17" s="13">
        <f t="shared" si="0"/>
        <v>-458015909.32685661</v>
      </c>
      <c r="Q17" s="13">
        <f t="shared" si="0"/>
        <v>-243095197.38011086</v>
      </c>
      <c r="R17" s="13">
        <f t="shared" si="0"/>
        <v>-175191101.94405162</v>
      </c>
      <c r="S17" s="13">
        <f t="shared" si="0"/>
        <v>-71657158.99624908</v>
      </c>
      <c r="T17" s="13">
        <f t="shared" si="0"/>
        <v>-71657159.061180666</v>
      </c>
      <c r="U17" s="13">
        <f t="shared" si="0"/>
        <v>0</v>
      </c>
      <c r="V17" s="13">
        <f t="shared" si="0"/>
        <v>-235310922.37698323</v>
      </c>
      <c r="W17" s="13">
        <f t="shared" si="0"/>
        <v>-338844865.32478434</v>
      </c>
      <c r="X17" s="13">
        <f t="shared" si="0"/>
        <v>-7332602.8856283464</v>
      </c>
      <c r="Y17" s="13">
        <f t="shared" si="0"/>
        <v>-331512262.43915671</v>
      </c>
      <c r="Z17" s="13">
        <f t="shared" si="0"/>
        <v>-247927041.47967014</v>
      </c>
      <c r="AA17" s="13">
        <f t="shared" si="0"/>
        <v>-364706.91884992563</v>
      </c>
      <c r="AB17" s="13">
        <f t="shared" si="0"/>
        <v>-7842160.803431944</v>
      </c>
      <c r="AC17" s="13">
        <f t="shared" si="0"/>
        <v>-9546503.3615768123</v>
      </c>
      <c r="AD17" s="13">
        <f t="shared" si="0"/>
        <v>-4349952.3431675639</v>
      </c>
      <c r="AE17" s="13">
        <f t="shared" si="0"/>
        <v>-3840394.4253639835</v>
      </c>
      <c r="AF17" s="13">
        <f t="shared" si="0"/>
        <v>-5196551.0184092494</v>
      </c>
    </row>
    <row r="19" spans="1:32" x14ac:dyDescent="0.25">
      <c r="A19" s="3" t="s">
        <v>46</v>
      </c>
      <c r="B19" s="8" t="s">
        <v>48</v>
      </c>
      <c r="C19">
        <f>C11*C6</f>
        <v>749978.83298115782</v>
      </c>
      <c r="D19" s="13">
        <f t="shared" ref="D19:AF19" si="1">D11*D6</f>
        <v>2525987.1833131961</v>
      </c>
      <c r="E19" s="13">
        <f t="shared" si="1"/>
        <v>3295702.7556202002</v>
      </c>
      <c r="F19" s="13">
        <f t="shared" si="1"/>
        <v>3273087.0667063156</v>
      </c>
      <c r="G19" s="13">
        <f t="shared" si="1"/>
        <v>2091502.6356253293</v>
      </c>
      <c r="H19" s="13">
        <f t="shared" si="1"/>
        <v>1181584.4310809753</v>
      </c>
      <c r="I19" s="13">
        <f t="shared" si="1"/>
        <v>2017107.016550652</v>
      </c>
      <c r="J19" s="13">
        <f t="shared" si="1"/>
        <v>1893193.8647403803</v>
      </c>
      <c r="K19" s="13">
        <f t="shared" si="1"/>
        <v>1819006.844859215</v>
      </c>
      <c r="L19" s="13">
        <f t="shared" si="1"/>
        <v>1065822.8439813424</v>
      </c>
      <c r="M19" s="13">
        <f t="shared" si="1"/>
        <v>2568374.3451079978</v>
      </c>
      <c r="N19" s="13">
        <f t="shared" si="1"/>
        <v>2694138.7824507514</v>
      </c>
      <c r="O19" s="13">
        <f t="shared" si="1"/>
        <v>2886233.7978449673</v>
      </c>
      <c r="P19" s="13">
        <f t="shared" si="1"/>
        <v>2803801.4044610262</v>
      </c>
      <c r="Q19" s="13">
        <f t="shared" si="1"/>
        <v>235427.05935302647</v>
      </c>
      <c r="R19" s="13">
        <f t="shared" si="1"/>
        <v>2699034.6411142638</v>
      </c>
      <c r="S19" s="13">
        <f t="shared" si="1"/>
        <v>2990894.5292566703</v>
      </c>
      <c r="T19" s="13">
        <f t="shared" si="1"/>
        <v>3169363.0287720291</v>
      </c>
      <c r="U19" s="13">
        <f t="shared" si="1"/>
        <v>0</v>
      </c>
      <c r="V19" s="13">
        <f t="shared" si="1"/>
        <v>2862013.3819325613</v>
      </c>
      <c r="W19" s="13">
        <f t="shared" si="1"/>
        <v>2581892.6142425439</v>
      </c>
      <c r="X19" s="13">
        <f t="shared" si="1"/>
        <v>55872.15617220875</v>
      </c>
      <c r="Y19" s="13">
        <f t="shared" si="1"/>
        <v>2526020.4580703401</v>
      </c>
      <c r="Z19" s="13">
        <f t="shared" si="1"/>
        <v>243868.26345691489</v>
      </c>
      <c r="AA19" s="13">
        <f t="shared" si="1"/>
        <v>2593.6297578403469</v>
      </c>
      <c r="AB19" s="13">
        <f t="shared" si="1"/>
        <v>54236.983363140069</v>
      </c>
      <c r="AC19" s="13">
        <f t="shared" si="1"/>
        <v>48263.529932643112</v>
      </c>
      <c r="AD19" s="13">
        <f t="shared" si="1"/>
        <v>42904.293402420473</v>
      </c>
      <c r="AE19" s="13">
        <f t="shared" si="1"/>
        <v>45198.463046847726</v>
      </c>
      <c r="AF19" s="13">
        <f t="shared" si="1"/>
        <v>5359.2365302226763</v>
      </c>
    </row>
    <row r="20" spans="1:32" x14ac:dyDescent="0.25">
      <c r="A20" s="3" t="s">
        <v>47</v>
      </c>
      <c r="B20" s="10" t="s">
        <v>11</v>
      </c>
      <c r="C20">
        <f>C17-$C$21*C19</f>
        <v>-210295850.82646486</v>
      </c>
      <c r="D20" s="13">
        <f>D17-$C$21*D19</f>
        <v>-1089259437.4629998</v>
      </c>
      <c r="E20" s="13">
        <f>E17-$C$21*E19</f>
        <v>-1305476310.0872188</v>
      </c>
      <c r="F20" s="13">
        <f>F17-$C$21*F19</f>
        <v>-1306288599.4088056</v>
      </c>
      <c r="G20" s="13">
        <f>G17-$C$21*G19</f>
        <v>-834718415.02222431</v>
      </c>
      <c r="H20" s="13">
        <f>H17-$C$21*H19</f>
        <v>-471570184.38657701</v>
      </c>
      <c r="I20" s="13">
        <f>I17-$C$21*I19</f>
        <v>-835209044.1336329</v>
      </c>
      <c r="J20" s="13">
        <f>J17-$C$21*J19</f>
        <v>-833648597.92135262</v>
      </c>
      <c r="K20" s="13">
        <f>K17-$C$21*K19</f>
        <v>-831284889.28262293</v>
      </c>
      <c r="L20" s="13">
        <f>L17-$C$21*L19</f>
        <v>-470773287.25213647</v>
      </c>
      <c r="M20" s="13">
        <f>M17-$C$21*M19</f>
        <v>-985433015.47914457</v>
      </c>
      <c r="N20" s="13">
        <f>N17-$C$21*N19</f>
        <v>-989230767.68652058</v>
      </c>
      <c r="O20" s="13">
        <f>O17-$C$21*O19</f>
        <v>-1302479409.2360837</v>
      </c>
      <c r="P20" s="13">
        <f>P17-$C$21*P19</f>
        <v>-1299156330.6651645</v>
      </c>
      <c r="Q20" s="13">
        <f>Q17-$C$21*Q19</f>
        <v>-313723315.18601882</v>
      </c>
      <c r="R20" s="13">
        <f>R17-$C$21*R19</f>
        <v>-984901494.2783308</v>
      </c>
      <c r="S20" s="13">
        <f>S17-$C$21*S19</f>
        <v>-968925517.7732501</v>
      </c>
      <c r="T20" s="13">
        <f>T17-$C$21*T19</f>
        <v>-1022466067.6927894</v>
      </c>
      <c r="U20" s="13">
        <f>U17-$C$21*U19</f>
        <v>0</v>
      </c>
      <c r="V20" s="13">
        <f>V17-$C$21*V19</f>
        <v>-1093914936.9567516</v>
      </c>
      <c r="W20" s="13">
        <f>W17-$C$21*W19</f>
        <v>-1113412649.5975475</v>
      </c>
      <c r="X20" s="13">
        <f>X17-$C$21*X19</f>
        <v>-24094249.737290971</v>
      </c>
      <c r="Y20" s="13">
        <f>Y17-$C$21*Y19</f>
        <v>-1089318399.8602588</v>
      </c>
      <c r="Z20" s="13">
        <f>Z17-$C$21*Z19</f>
        <v>-321087520.51674461</v>
      </c>
      <c r="AA20" s="13">
        <f>AA17-$C$21*AA19</f>
        <v>-1142795.8462020298</v>
      </c>
      <c r="AB20" s="13">
        <f>AB17-$C$21*AB19</f>
        <v>-24113255.812373966</v>
      </c>
      <c r="AC20" s="13">
        <f>AC17-$C$21*AC19</f>
        <v>-24025562.341369748</v>
      </c>
      <c r="AD20" s="13">
        <f>AD17-$C$21*AD19</f>
        <v>-17221240.363893706</v>
      </c>
      <c r="AE20" s="13">
        <f>AE17-$C$21*AE19</f>
        <v>-17399933.339418299</v>
      </c>
      <c r="AF20" s="13">
        <f>AF17-$C$21*AF19</f>
        <v>-6804321.977476052</v>
      </c>
    </row>
    <row r="21" spans="1:32" x14ac:dyDescent="0.25">
      <c r="B21" s="11" t="s">
        <v>49</v>
      </c>
      <c r="C21" s="12">
        <v>300</v>
      </c>
    </row>
    <row r="23" spans="1:32" hidden="1" x14ac:dyDescent="0.25"/>
    <row r="24" spans="1:32" hidden="1" x14ac:dyDescent="0.25"/>
    <row r="25" spans="1:32" hidden="1" x14ac:dyDescent="0.25"/>
    <row r="26" spans="1:32" hidden="1" x14ac:dyDescent="0.25"/>
    <row r="27" spans="1:32" hidden="1" x14ac:dyDescent="0.25"/>
    <row r="28" spans="1:32" hidden="1" x14ac:dyDescent="0.25"/>
    <row r="29" spans="1:32" x14ac:dyDescent="0.25">
      <c r="A29" s="17"/>
      <c r="B29" s="23" t="s">
        <v>93</v>
      </c>
      <c r="C29" s="23"/>
      <c r="D29" s="23"/>
      <c r="E29" s="23" t="s">
        <v>92</v>
      </c>
      <c r="F29" s="23"/>
      <c r="G29" s="23"/>
      <c r="H29" s="23"/>
      <c r="I29" s="23"/>
      <c r="J29" s="23"/>
      <c r="K29" s="23"/>
      <c r="L29" s="23"/>
      <c r="M29" s="23"/>
      <c r="N29" s="17" t="s">
        <v>91</v>
      </c>
      <c r="O29" s="23" t="s">
        <v>90</v>
      </c>
      <c r="P29" s="23"/>
      <c r="Q29" s="23"/>
    </row>
    <row r="30" spans="1:32" x14ac:dyDescent="0.25">
      <c r="A30" s="15" t="s">
        <v>50</v>
      </c>
      <c r="B30" s="15" t="s">
        <v>68</v>
      </c>
      <c r="C30" s="15" t="s">
        <v>69</v>
      </c>
      <c r="D30" s="16" t="s">
        <v>81</v>
      </c>
      <c r="E30" s="16" t="s">
        <v>64</v>
      </c>
      <c r="F30" s="16" t="s">
        <v>65</v>
      </c>
      <c r="G30" s="16" t="s">
        <v>66</v>
      </c>
      <c r="H30" s="16" t="s">
        <v>72</v>
      </c>
      <c r="I30" s="16" t="s">
        <v>71</v>
      </c>
      <c r="J30" s="16" t="s">
        <v>80</v>
      </c>
      <c r="K30" s="16" t="s">
        <v>76</v>
      </c>
      <c r="L30" s="16" t="s">
        <v>75</v>
      </c>
      <c r="M30" s="16" t="s">
        <v>79</v>
      </c>
      <c r="N30" s="16" t="s">
        <v>73</v>
      </c>
      <c r="O30" s="16" t="s">
        <v>78</v>
      </c>
      <c r="P30" s="16" t="s">
        <v>74</v>
      </c>
      <c r="Q30" s="16" t="s">
        <v>77</v>
      </c>
    </row>
    <row r="31" spans="1:32" x14ac:dyDescent="0.25">
      <c r="A31" s="18" t="s">
        <v>51</v>
      </c>
      <c r="B31" s="19" t="s">
        <v>67</v>
      </c>
      <c r="C31" s="19" t="s">
        <v>70</v>
      </c>
      <c r="D31" s="20" t="s">
        <v>82</v>
      </c>
      <c r="E31" s="19">
        <v>19</v>
      </c>
      <c r="F31" s="19">
        <v>21</v>
      </c>
      <c r="G31" s="19">
        <v>22</v>
      </c>
      <c r="H31" s="19">
        <v>24</v>
      </c>
      <c r="I31" s="19" t="s">
        <v>94</v>
      </c>
      <c r="J31" s="19">
        <v>8</v>
      </c>
      <c r="K31" s="19">
        <v>4</v>
      </c>
      <c r="L31" s="21" t="s">
        <v>83</v>
      </c>
      <c r="M31" s="20" t="s">
        <v>85</v>
      </c>
      <c r="N31" s="19">
        <v>29</v>
      </c>
      <c r="O31" s="19">
        <v>9</v>
      </c>
      <c r="P31" s="19">
        <v>25</v>
      </c>
      <c r="Q31" s="19">
        <v>27</v>
      </c>
    </row>
    <row r="32" spans="1:32" x14ac:dyDescent="0.25">
      <c r="A32" s="18" t="s">
        <v>52</v>
      </c>
      <c r="B32" s="19">
        <v>17</v>
      </c>
      <c r="C32" s="19">
        <v>24</v>
      </c>
      <c r="D32" s="19">
        <v>31</v>
      </c>
      <c r="E32" s="19">
        <v>21</v>
      </c>
      <c r="F32" s="19">
        <v>22</v>
      </c>
      <c r="G32" s="19">
        <v>23</v>
      </c>
      <c r="H32" s="19">
        <v>25</v>
      </c>
      <c r="I32" s="19" t="s">
        <v>95</v>
      </c>
      <c r="J32" s="19">
        <v>9</v>
      </c>
      <c r="K32" s="19">
        <v>5</v>
      </c>
      <c r="L32" s="22" t="s">
        <v>84</v>
      </c>
      <c r="M32" s="22" t="s">
        <v>86</v>
      </c>
      <c r="N32" s="19">
        <v>32</v>
      </c>
      <c r="O32" s="21" t="s">
        <v>87</v>
      </c>
      <c r="P32" s="19" t="s">
        <v>88</v>
      </c>
      <c r="Q32" s="22" t="s">
        <v>89</v>
      </c>
    </row>
    <row r="33" spans="1:17" x14ac:dyDescent="0.25">
      <c r="A33" s="18" t="s">
        <v>53</v>
      </c>
      <c r="B33" s="14">
        <f>E17-C17-D17</f>
        <v>0</v>
      </c>
      <c r="C33" s="14">
        <f>O17-L17-K17</f>
        <v>-1.3709068298339844E-6</v>
      </c>
      <c r="D33" s="14">
        <f>D17-W17-X17</f>
        <v>14714185.741371695</v>
      </c>
      <c r="E33" s="14">
        <f>I17-G17</f>
        <v>-22809314.833811849</v>
      </c>
      <c r="F33" s="14">
        <f>J17-I17</f>
        <v>-35613499.330801249</v>
      </c>
      <c r="G33" s="14">
        <f>K17-J17</f>
        <v>-19892397.325619876</v>
      </c>
      <c r="H33" s="14">
        <f>P17-O17</f>
        <v>-21406639.444263041</v>
      </c>
      <c r="I33" s="14">
        <f>L17+M17-H17-N17</f>
        <v>-67863157.990899503</v>
      </c>
      <c r="J33" s="14">
        <f>AC17-AB17</f>
        <v>-1704342.5581448684</v>
      </c>
      <c r="K33" s="14">
        <f>V17-T17</f>
        <v>-163653763.31580257</v>
      </c>
      <c r="L33" s="14">
        <f>W17+S17-V17-R17</f>
        <v>1.430511474609375E-6</v>
      </c>
      <c r="M33" s="14">
        <f>AB17+AE17-AD17-X17</f>
        <v>-1.6763806343078613E-8</v>
      </c>
      <c r="N33" s="14">
        <f>R17-N17</f>
        <v>5798031.0072435141</v>
      </c>
      <c r="O33" s="14">
        <f>AD17+AF17-AC17</f>
        <v>0</v>
      </c>
      <c r="P33" s="14">
        <f>M17+Q17-P17</f>
        <v>4.76837158203125E-7</v>
      </c>
      <c r="Q33" s="14">
        <f>Z17+AA17-Q17</f>
        <v>-5196551.0184091926</v>
      </c>
    </row>
    <row r="34" spans="1:17" x14ac:dyDescent="0.25">
      <c r="A34" s="18" t="s">
        <v>54</v>
      </c>
      <c r="B34" s="14">
        <f>S_17-S_16-S_31</f>
        <v>19736.73932584608</v>
      </c>
      <c r="C34" s="14">
        <f>S_24-S_30-S_23</f>
        <v>1404.1090044099838</v>
      </c>
      <c r="D34" s="14">
        <f>S_31-S_6-S_7</f>
        <v>-111777.58710155662</v>
      </c>
      <c r="E34" s="14">
        <f>S_21-S_19</f>
        <v>-74395.61907467735</v>
      </c>
      <c r="F34" s="14">
        <f>S_22-S_21</f>
        <v>-123913.15181027167</v>
      </c>
      <c r="G34" s="14">
        <f>S_23-S_22</f>
        <v>-74187.019881165354</v>
      </c>
      <c r="H34" s="14">
        <f>S_25-S_24</f>
        <v>-82432.393383941147</v>
      </c>
      <c r="I34" s="14">
        <f>S_30+S_29-S_20-S_26</f>
        <v>10002.850243120454</v>
      </c>
      <c r="J34" s="14">
        <f>S_9-S_8</f>
        <v>-5973.4534304969566</v>
      </c>
      <c r="K34" s="14">
        <f>S_5-S_4</f>
        <v>-307349.64683946781</v>
      </c>
      <c r="L34" s="14">
        <f>S_6+S_15-S5-S_32</f>
        <v>2857402.5023849504</v>
      </c>
      <c r="M34" s="14">
        <f>S_8+S_11-S_10-S_7</f>
        <v>658.99683535857184</v>
      </c>
      <c r="N34" s="14">
        <f>S_32-S_29</f>
        <v>4895.8586635123938</v>
      </c>
      <c r="O34" s="14">
        <f>S_28-S_10</f>
        <v>-37545.056872197798</v>
      </c>
      <c r="P34" s="14">
        <f>S_26+S_27-S_25</f>
        <v>0</v>
      </c>
      <c r="Q34" s="14">
        <f>S_1+S_2-S_27</f>
        <v>11034.833861728781</v>
      </c>
    </row>
    <row r="35" spans="1:17" x14ac:dyDescent="0.25">
      <c r="A35" s="18" t="s">
        <v>55</v>
      </c>
      <c r="B35" s="14">
        <f>E20-C20-D20</f>
        <v>-5921021.7977540493</v>
      </c>
      <c r="C35" s="14">
        <f>O20-L20-23</f>
        <v>-831706144.98394728</v>
      </c>
      <c r="D35" s="14">
        <f>D20-W20-X20</f>
        <v>48247461.871838681</v>
      </c>
      <c r="E35" s="14">
        <f>I20-G20</f>
        <v>-490629.11140859127</v>
      </c>
      <c r="F35" s="14">
        <f>J20-I20</f>
        <v>1560446.2122802734</v>
      </c>
      <c r="G35" s="14">
        <f>K20-J20</f>
        <v>2363708.6387296915</v>
      </c>
      <c r="H35" s="14">
        <f>O20-P20</f>
        <v>-3323078.5709192753</v>
      </c>
      <c r="I35" s="14">
        <f>L20+N20-H20</f>
        <v>-988433870.55208004</v>
      </c>
      <c r="J35" s="14">
        <f>AC20-AB20</f>
        <v>87693.471004217863</v>
      </c>
      <c r="K35" s="14">
        <f>V20-T20</f>
        <v>-71448869.26396215</v>
      </c>
      <c r="L35" s="14">
        <f>W20+S20-V20-R20</f>
        <v>-3521736.1357152462</v>
      </c>
      <c r="M35" s="14">
        <f>AB20+AE20-AD20-X20</f>
        <v>-197699.05060758814</v>
      </c>
      <c r="N35" s="14">
        <f>R20-N20</f>
        <v>4329273.4081897736</v>
      </c>
      <c r="O35" s="14">
        <f>AD20+AF20-AC20</f>
        <v>0</v>
      </c>
      <c r="P35" s="14">
        <f>M20+Q20-P20</f>
        <v>0</v>
      </c>
      <c r="Q35" s="14">
        <f>Z20+AA20-Q20</f>
        <v>-8507001.1769278049</v>
      </c>
    </row>
    <row r="36" spans="1:17" x14ac:dyDescent="0.25">
      <c r="A36" s="18" t="s">
        <v>56</v>
      </c>
      <c r="B36" s="14">
        <f>B33</f>
        <v>0</v>
      </c>
      <c r="C36" s="24">
        <f t="shared" ref="C36:Q36" si="2">C33</f>
        <v>-1.3709068298339844E-6</v>
      </c>
      <c r="D36" s="14">
        <f t="shared" si="2"/>
        <v>14714185.741371695</v>
      </c>
      <c r="E36" s="14">
        <f t="shared" si="2"/>
        <v>-22809314.833811849</v>
      </c>
      <c r="F36" s="14">
        <f t="shared" si="2"/>
        <v>-35613499.330801249</v>
      </c>
      <c r="G36" s="14">
        <f t="shared" si="2"/>
        <v>-19892397.325619876</v>
      </c>
      <c r="H36" s="14">
        <f t="shared" si="2"/>
        <v>-21406639.444263041</v>
      </c>
      <c r="I36" s="14">
        <f t="shared" si="2"/>
        <v>-67863157.990899503</v>
      </c>
      <c r="J36" s="14">
        <f t="shared" si="2"/>
        <v>-1704342.5581448684</v>
      </c>
      <c r="K36" s="14">
        <f t="shared" si="2"/>
        <v>-163653763.31580257</v>
      </c>
      <c r="L36" s="14">
        <f t="shared" si="2"/>
        <v>1.430511474609375E-6</v>
      </c>
      <c r="M36" s="24">
        <f t="shared" si="2"/>
        <v>-1.6763806343078613E-8</v>
      </c>
      <c r="N36" s="14">
        <f t="shared" si="2"/>
        <v>5798031.0072435141</v>
      </c>
      <c r="O36" s="14">
        <f t="shared" si="2"/>
        <v>0</v>
      </c>
      <c r="P36" s="24">
        <f t="shared" si="2"/>
        <v>4.76837158203125E-7</v>
      </c>
      <c r="Q36" s="14">
        <f t="shared" si="2"/>
        <v>-5196551.0184091926</v>
      </c>
    </row>
    <row r="37" spans="1:17" x14ac:dyDescent="0.25">
      <c r="A37" s="18" t="s">
        <v>57</v>
      </c>
      <c r="B37" s="14" t="s">
        <v>96</v>
      </c>
      <c r="C37" s="14" t="s">
        <v>96</v>
      </c>
      <c r="D37" s="14" t="s">
        <v>96</v>
      </c>
      <c r="E37" s="14">
        <v>291.75</v>
      </c>
      <c r="F37" s="14">
        <v>270.95</v>
      </c>
      <c r="G37" s="14">
        <v>254.15</v>
      </c>
      <c r="H37" s="14">
        <v>241.75</v>
      </c>
      <c r="I37" s="14">
        <v>0</v>
      </c>
      <c r="J37" s="14"/>
      <c r="K37" s="14"/>
      <c r="L37" s="14"/>
      <c r="M37" s="14"/>
      <c r="N37" s="14" t="s">
        <v>96</v>
      </c>
      <c r="O37" s="14" t="s">
        <v>96</v>
      </c>
      <c r="P37" s="14" t="s">
        <v>96</v>
      </c>
      <c r="Q37" s="14" t="s">
        <v>96</v>
      </c>
    </row>
    <row r="38" spans="1:17" x14ac:dyDescent="0.25">
      <c r="A38" s="18" t="s">
        <v>58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/>
      <c r="O38" s="14">
        <v>0</v>
      </c>
      <c r="P38" s="14">
        <v>0</v>
      </c>
      <c r="Q38" s="14">
        <v>0</v>
      </c>
    </row>
    <row r="39" spans="1:17" x14ac:dyDescent="0.25">
      <c r="A39" s="18" t="s">
        <v>59</v>
      </c>
      <c r="B39" s="14">
        <f>B34</f>
        <v>19736.73932584608</v>
      </c>
      <c r="C39" s="14">
        <f t="shared" ref="C39:D39" si="3">C34</f>
        <v>1404.1090044099838</v>
      </c>
      <c r="D39" s="14">
        <f t="shared" si="3"/>
        <v>-111777.58710155662</v>
      </c>
      <c r="E39" s="14">
        <f>E34-E36/E37</f>
        <v>3785.4086333324231</v>
      </c>
      <c r="F39" s="14">
        <f t="shared" ref="F39:H39" si="4">F34-F36/F37</f>
        <v>7526.2256793066626</v>
      </c>
      <c r="G39" s="14">
        <f t="shared" si="4"/>
        <v>4083.2824033905199</v>
      </c>
      <c r="H39" s="14">
        <f t="shared" si="4"/>
        <v>6116.2702944995544</v>
      </c>
      <c r="I39" s="14">
        <f>I34</f>
        <v>10002.850243120454</v>
      </c>
      <c r="J39" s="15"/>
      <c r="K39" s="15"/>
      <c r="L39" s="15"/>
      <c r="M39" s="15"/>
      <c r="N39" s="14"/>
      <c r="O39" s="14"/>
      <c r="P39" s="14"/>
      <c r="Q39" s="14"/>
    </row>
    <row r="40" spans="1:17" x14ac:dyDescent="0.25">
      <c r="A40" s="18" t="s">
        <v>60</v>
      </c>
      <c r="B40" s="25">
        <v>0</v>
      </c>
      <c r="C40" s="14">
        <v>0</v>
      </c>
      <c r="D40" s="14">
        <v>0</v>
      </c>
      <c r="E40" s="14">
        <f>E38+E36*(1-$C$21/E37)</f>
        <v>644993.47859107936</v>
      </c>
      <c r="F40" s="14">
        <f t="shared" ref="F40:I40" si="5">F38+F36*(1-$C$21/F37)</f>
        <v>3818313.9160722522</v>
      </c>
      <c r="G40" s="14">
        <f t="shared" si="5"/>
        <v>3588693.3597468855</v>
      </c>
      <c r="H40" s="14">
        <f t="shared" si="5"/>
        <v>5157959.6592691736</v>
      </c>
      <c r="I40" s="14">
        <v>0</v>
      </c>
      <c r="J40" s="15"/>
      <c r="K40" s="15"/>
      <c r="L40" s="15"/>
      <c r="M40" s="15"/>
      <c r="N40" s="14"/>
      <c r="O40" s="14"/>
      <c r="P40" s="14"/>
      <c r="Q40" s="14"/>
    </row>
    <row r="41" spans="1:17" x14ac:dyDescent="0.25">
      <c r="A41" s="18" t="s">
        <v>61</v>
      </c>
      <c r="B41" s="14">
        <f>B35</f>
        <v>-5921021.7977540493</v>
      </c>
      <c r="C41" s="14">
        <f t="shared" ref="C41:Q41" si="6">C35</f>
        <v>-831706144.98394728</v>
      </c>
      <c r="D41" s="14">
        <f t="shared" si="6"/>
        <v>48247461.871838681</v>
      </c>
      <c r="E41" s="14">
        <f t="shared" si="6"/>
        <v>-490629.11140859127</v>
      </c>
      <c r="F41" s="14">
        <f t="shared" si="6"/>
        <v>1560446.2122802734</v>
      </c>
      <c r="G41" s="14">
        <f t="shared" si="6"/>
        <v>2363708.6387296915</v>
      </c>
      <c r="H41" s="14">
        <f t="shared" si="6"/>
        <v>-3323078.5709192753</v>
      </c>
      <c r="I41" s="14">
        <f t="shared" si="6"/>
        <v>-988433870.55208004</v>
      </c>
      <c r="J41" s="14">
        <f t="shared" si="6"/>
        <v>87693.471004217863</v>
      </c>
      <c r="K41" s="14">
        <f t="shared" si="6"/>
        <v>-71448869.26396215</v>
      </c>
      <c r="L41" s="14">
        <f t="shared" si="6"/>
        <v>-3521736.1357152462</v>
      </c>
      <c r="M41" s="14">
        <f t="shared" si="6"/>
        <v>-197699.05060758814</v>
      </c>
      <c r="N41" s="14">
        <f t="shared" si="6"/>
        <v>4329273.4081897736</v>
      </c>
      <c r="O41" s="14">
        <f t="shared" si="6"/>
        <v>0</v>
      </c>
      <c r="P41" s="14">
        <f t="shared" si="6"/>
        <v>0</v>
      </c>
      <c r="Q41" s="14">
        <f t="shared" si="6"/>
        <v>-8507001.1769278049</v>
      </c>
    </row>
    <row r="42" spans="1:17" x14ac:dyDescent="0.25">
      <c r="A42" s="18" t="s">
        <v>62</v>
      </c>
      <c r="B42" s="14">
        <f>$C$21*B41</f>
        <v>-1776306539.3262148</v>
      </c>
      <c r="C42" s="14">
        <f t="shared" ref="C42:Q42" si="7">$C$21*C41</f>
        <v>-249511843495.18417</v>
      </c>
      <c r="D42" s="14">
        <f t="shared" si="7"/>
        <v>14474238561.551605</v>
      </c>
      <c r="E42" s="14">
        <f t="shared" si="7"/>
        <v>-147188733.42257738</v>
      </c>
      <c r="F42" s="14">
        <f t="shared" si="7"/>
        <v>468133863.68408203</v>
      </c>
      <c r="G42" s="14">
        <f t="shared" si="7"/>
        <v>709112591.61890745</v>
      </c>
      <c r="H42" s="14">
        <f t="shared" si="7"/>
        <v>-996923571.27578259</v>
      </c>
      <c r="I42" s="14">
        <f t="shared" si="7"/>
        <v>-296530161165.62402</v>
      </c>
      <c r="J42" s="14">
        <f t="shared" si="7"/>
        <v>26308041.301265359</v>
      </c>
      <c r="K42" s="14">
        <f t="shared" si="7"/>
        <v>-21434660779.188644</v>
      </c>
      <c r="L42" s="14">
        <f t="shared" si="7"/>
        <v>-1056520840.7145739</v>
      </c>
      <c r="M42" s="14">
        <f t="shared" si="7"/>
        <v>-59309715.182276443</v>
      </c>
      <c r="N42" s="14">
        <f t="shared" si="7"/>
        <v>1298782022.4569321</v>
      </c>
      <c r="O42" s="14">
        <f t="shared" si="7"/>
        <v>0</v>
      </c>
      <c r="P42" s="14">
        <f t="shared" si="7"/>
        <v>0</v>
      </c>
      <c r="Q42" s="14">
        <f t="shared" si="7"/>
        <v>-2552100353.0783415</v>
      </c>
    </row>
    <row r="43" spans="1:17" x14ac:dyDescent="0.25">
      <c r="A43" s="18" t="s">
        <v>63</v>
      </c>
      <c r="B43" s="14">
        <f>B41+B42</f>
        <v>-1782227561.1239688</v>
      </c>
      <c r="C43" s="14">
        <f t="shared" ref="C43:Q43" si="8">C41+C42</f>
        <v>-250343549640.16812</v>
      </c>
      <c r="D43" s="14">
        <f t="shared" si="8"/>
        <v>14522486023.423445</v>
      </c>
      <c r="E43" s="14">
        <f t="shared" si="8"/>
        <v>-147679362.53398597</v>
      </c>
      <c r="F43" s="14">
        <f t="shared" si="8"/>
        <v>469694309.8963623</v>
      </c>
      <c r="G43" s="14">
        <f t="shared" si="8"/>
        <v>711476300.25763714</v>
      </c>
      <c r="H43" s="14">
        <f t="shared" si="8"/>
        <v>-1000246649.8467019</v>
      </c>
      <c r="I43" s="14">
        <f t="shared" si="8"/>
        <v>-297518595036.17609</v>
      </c>
      <c r="J43" s="14">
        <f t="shared" si="8"/>
        <v>26395734.772269577</v>
      </c>
      <c r="K43" s="14">
        <f t="shared" si="8"/>
        <v>-21506109648.452606</v>
      </c>
      <c r="L43" s="14">
        <f t="shared" si="8"/>
        <v>-1060042576.8502891</v>
      </c>
      <c r="M43" s="14">
        <f t="shared" si="8"/>
        <v>-59507414.232884035</v>
      </c>
      <c r="N43" s="14">
        <f t="shared" si="8"/>
        <v>1303111295.8651218</v>
      </c>
      <c r="O43" s="14">
        <f t="shared" si="8"/>
        <v>0</v>
      </c>
      <c r="P43" s="14">
        <f t="shared" si="8"/>
        <v>0</v>
      </c>
      <c r="Q43" s="14">
        <f t="shared" si="8"/>
        <v>-2560607354.2552691</v>
      </c>
    </row>
  </sheetData>
  <mergeCells count="3">
    <mergeCell ref="O29:Q29"/>
    <mergeCell ref="E29:M29"/>
    <mergeCell ref="B29:D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76BB-6150-4358-98D1-A527C1DD82FF}">
  <dimension ref="A1:AF7"/>
  <sheetViews>
    <sheetView workbookViewId="0"/>
  </sheetViews>
  <sheetFormatPr baseColWidth="10" defaultRowHeight="15" x14ac:dyDescent="0.25"/>
  <sheetData>
    <row r="1" spans="1:32" x14ac:dyDescent="0.25">
      <c r="B1" s="1" t="s">
        <v>0</v>
      </c>
      <c r="C1" s="2">
        <v>16</v>
      </c>
      <c r="D1" s="2">
        <v>31</v>
      </c>
      <c r="E1" s="2">
        <v>17</v>
      </c>
      <c r="F1" s="2">
        <v>18</v>
      </c>
      <c r="G1" s="2">
        <v>19</v>
      </c>
      <c r="H1" s="2">
        <v>20</v>
      </c>
      <c r="I1" s="2">
        <v>21</v>
      </c>
      <c r="J1" s="2">
        <v>22</v>
      </c>
      <c r="K1" s="2">
        <v>23</v>
      </c>
      <c r="L1" s="2">
        <v>30</v>
      </c>
      <c r="M1" s="2">
        <v>26</v>
      </c>
      <c r="N1" s="2">
        <v>29</v>
      </c>
      <c r="O1" s="2">
        <v>24</v>
      </c>
      <c r="P1" s="2">
        <v>25</v>
      </c>
      <c r="Q1" s="2">
        <v>27</v>
      </c>
      <c r="R1" s="2">
        <v>32</v>
      </c>
      <c r="S1" s="2">
        <v>15</v>
      </c>
      <c r="T1" s="2">
        <v>4</v>
      </c>
      <c r="U1" s="2" t="s">
        <v>13</v>
      </c>
      <c r="V1" s="2">
        <v>5</v>
      </c>
      <c r="W1" s="2">
        <v>6</v>
      </c>
      <c r="X1" s="2">
        <v>7</v>
      </c>
      <c r="Y1" s="2" t="s">
        <v>14</v>
      </c>
      <c r="Z1" s="2">
        <v>1</v>
      </c>
      <c r="AA1" s="2">
        <v>2</v>
      </c>
      <c r="AB1" s="2">
        <v>8</v>
      </c>
      <c r="AC1" s="2">
        <v>9</v>
      </c>
      <c r="AD1" s="2">
        <v>10</v>
      </c>
      <c r="AE1" s="2">
        <v>11</v>
      </c>
      <c r="AF1" s="2">
        <v>28</v>
      </c>
    </row>
    <row r="3" spans="1:32" x14ac:dyDescent="0.25">
      <c r="A3" s="3" t="s">
        <v>15</v>
      </c>
      <c r="B3" s="1"/>
      <c r="C3" s="4">
        <v>0.741933343947354</v>
      </c>
      <c r="D3" s="4">
        <v>0.51194585631652201</v>
      </c>
      <c r="E3" s="3">
        <v>0.56821258449787404</v>
      </c>
      <c r="F3" s="3">
        <v>0.56821258449787404</v>
      </c>
      <c r="G3" s="3">
        <v>0.56821258449787404</v>
      </c>
      <c r="H3" s="3">
        <v>0.56821258449787404</v>
      </c>
      <c r="I3" s="3">
        <v>0.56821258449787404</v>
      </c>
      <c r="J3" s="3">
        <v>0.56821258449787404</v>
      </c>
      <c r="K3" s="3">
        <v>0.56821258449787404</v>
      </c>
      <c r="L3" s="3">
        <v>0.56821258449787404</v>
      </c>
      <c r="M3" s="3">
        <v>0.64008469318470296</v>
      </c>
      <c r="N3" s="3">
        <v>0.64008469318470296</v>
      </c>
      <c r="O3" s="3">
        <v>0.56821258449787404</v>
      </c>
      <c r="P3" s="3">
        <v>0.56821258449787404</v>
      </c>
      <c r="Q3" s="3">
        <v>3.2870904980912699E-3</v>
      </c>
      <c r="R3" s="3">
        <v>0.64008469318470296</v>
      </c>
      <c r="S3" s="3">
        <v>0.64008469318470296</v>
      </c>
      <c r="T3" s="3">
        <v>0.51190525766817196</v>
      </c>
      <c r="U3" s="3">
        <v>0.51313258589185995</v>
      </c>
      <c r="V3" s="3">
        <v>0.51190525766817196</v>
      </c>
      <c r="W3" s="3">
        <v>0.51190525766817196</v>
      </c>
      <c r="X3" s="3">
        <v>0.51190525766817196</v>
      </c>
      <c r="Y3" s="3">
        <v>0.51190525766817196</v>
      </c>
      <c r="Z3" s="3">
        <v>3.4947590771580798E-4</v>
      </c>
      <c r="AA3" s="3">
        <v>0.50292565443343895</v>
      </c>
      <c r="AB3" s="3">
        <v>0.51190525766817196</v>
      </c>
      <c r="AC3" s="3">
        <v>0.51190525766817196</v>
      </c>
      <c r="AD3" s="3">
        <v>0.59899543854588799</v>
      </c>
      <c r="AE3" s="3">
        <v>0.59899543854588799</v>
      </c>
      <c r="AF3" s="3">
        <v>4.1159345041211397E-3</v>
      </c>
    </row>
    <row r="4" spans="1:32" x14ac:dyDescent="0.25">
      <c r="A4" s="3" t="s">
        <v>16</v>
      </c>
      <c r="B4" s="1"/>
      <c r="C4" s="4">
        <v>0.24867324735976201</v>
      </c>
      <c r="D4" s="4">
        <v>0.18979503358205699</v>
      </c>
      <c r="E4" s="3">
        <v>0.20419966265366701</v>
      </c>
      <c r="F4" s="3">
        <v>0.20419966265366701</v>
      </c>
      <c r="G4" s="3">
        <v>0.20419966265366701</v>
      </c>
      <c r="H4" s="3">
        <v>0.20419966265366701</v>
      </c>
      <c r="I4" s="3">
        <v>0.20419966265366701</v>
      </c>
      <c r="J4" s="3">
        <v>0.20419966265366701</v>
      </c>
      <c r="K4" s="3">
        <v>0.20419966265366701</v>
      </c>
      <c r="L4" s="3">
        <v>0.20419966265366701</v>
      </c>
      <c r="M4" s="3">
        <v>0.23002585968821301</v>
      </c>
      <c r="N4" s="3">
        <v>0.23002585968821301</v>
      </c>
      <c r="O4" s="3">
        <v>0.20419966265366701</v>
      </c>
      <c r="P4" s="3">
        <v>0.20419966265366701</v>
      </c>
      <c r="Q4" s="3">
        <v>1.2019019861818699E-3</v>
      </c>
      <c r="R4" s="3">
        <v>0.23002585968821301</v>
      </c>
      <c r="S4" s="3">
        <v>0.23002585968821301</v>
      </c>
      <c r="T4" s="3">
        <v>0.189783369951187</v>
      </c>
      <c r="U4" s="3">
        <v>0.19005985001454001</v>
      </c>
      <c r="V4" s="3">
        <v>0.189783369951187</v>
      </c>
      <c r="W4" s="3">
        <v>0.189783369951187</v>
      </c>
      <c r="X4" s="3">
        <v>0.189783369951187</v>
      </c>
      <c r="Y4" s="3">
        <v>0.189783369951187</v>
      </c>
      <c r="Z4" s="3">
        <v>1.5458359443467899E-4</v>
      </c>
      <c r="AA4" s="3">
        <v>0.17952140645647999</v>
      </c>
      <c r="AB4" s="3">
        <v>0.189783369951187</v>
      </c>
      <c r="AC4" s="3">
        <v>0.189783369951187</v>
      </c>
      <c r="AD4" s="3">
        <v>0.222067057143017</v>
      </c>
      <c r="AE4" s="3">
        <v>0.222067057143017</v>
      </c>
      <c r="AF4" s="3">
        <v>1.5496161208080699E-3</v>
      </c>
    </row>
    <row r="5" spans="1:32" x14ac:dyDescent="0.25">
      <c r="A5" s="3" t="s">
        <v>17</v>
      </c>
      <c r="B5" s="1"/>
      <c r="C5" s="4">
        <v>5.9969219338746396E-3</v>
      </c>
      <c r="D5" s="4">
        <v>7.8148451156856702E-2</v>
      </c>
      <c r="E5" s="3">
        <v>6.0496488763255099E-2</v>
      </c>
      <c r="F5" s="3">
        <v>6.0496488763255099E-2</v>
      </c>
      <c r="G5" s="3">
        <v>6.0496488763255099E-2</v>
      </c>
      <c r="H5" s="3">
        <v>6.0496488763255099E-2</v>
      </c>
      <c r="I5" s="3">
        <v>6.0496488763255099E-2</v>
      </c>
      <c r="J5" s="3">
        <v>6.0496488763255099E-2</v>
      </c>
      <c r="K5" s="3">
        <v>6.0496488763255099E-2</v>
      </c>
      <c r="L5" s="3">
        <v>6.0496488763255099E-2</v>
      </c>
      <c r="M5" s="3">
        <v>6.80412409665659E-2</v>
      </c>
      <c r="N5" s="3">
        <v>6.80412409665659E-2</v>
      </c>
      <c r="O5" s="3">
        <v>6.0496488763255099E-2</v>
      </c>
      <c r="P5" s="3">
        <v>6.0496488763255099E-2</v>
      </c>
      <c r="Q5" s="3">
        <v>1.19361114583084E-3</v>
      </c>
      <c r="R5" s="3">
        <v>6.80412409665659E-2</v>
      </c>
      <c r="S5" s="3">
        <v>6.80412409665659E-2</v>
      </c>
      <c r="T5" s="3">
        <v>7.8183504733492906E-2</v>
      </c>
      <c r="U5" s="3">
        <v>7.8191447788585902E-2</v>
      </c>
      <c r="V5" s="3">
        <v>7.8183504733492906E-2</v>
      </c>
      <c r="W5" s="3">
        <v>7.8183504733492906E-2</v>
      </c>
      <c r="X5" s="3">
        <v>7.8183504733492906E-2</v>
      </c>
      <c r="Y5" s="3">
        <v>7.8183504733492906E-2</v>
      </c>
      <c r="Z5" s="3">
        <v>4.2156478798859102E-4</v>
      </c>
      <c r="AA5" s="3">
        <v>0.13454395846014999</v>
      </c>
      <c r="AB5" s="3">
        <v>7.8183504733492906E-2</v>
      </c>
      <c r="AC5" s="3">
        <v>7.8183504733492906E-2</v>
      </c>
      <c r="AD5" s="3">
        <v>9.1253655425106106E-2</v>
      </c>
      <c r="AE5" s="3">
        <v>9.1253655425106106E-2</v>
      </c>
      <c r="AF5" s="3">
        <v>1.9764868302314101E-3</v>
      </c>
    </row>
    <row r="6" spans="1:32" x14ac:dyDescent="0.25">
      <c r="A6" s="3" t="s">
        <v>18</v>
      </c>
      <c r="B6" s="1"/>
      <c r="C6" s="4">
        <v>3.39648675900865E-3</v>
      </c>
      <c r="D6" s="4">
        <v>4.5805210722105798E-2</v>
      </c>
      <c r="E6" s="3">
        <v>3.5429863052845602E-2</v>
      </c>
      <c r="F6" s="3">
        <v>3.5429863052845602E-2</v>
      </c>
      <c r="G6" s="3">
        <v>3.5429863052845602E-2</v>
      </c>
      <c r="H6" s="3">
        <v>3.5429863052845602E-2</v>
      </c>
      <c r="I6" s="3">
        <v>3.5429863052845602E-2</v>
      </c>
      <c r="J6" s="3">
        <v>3.5429863052845602E-2</v>
      </c>
      <c r="K6" s="3">
        <v>3.5429863052845602E-2</v>
      </c>
      <c r="L6" s="3">
        <v>3.5429863052845602E-2</v>
      </c>
      <c r="M6" s="3">
        <v>3.9887901496129398E-2</v>
      </c>
      <c r="N6" s="3">
        <v>3.9887901496129398E-2</v>
      </c>
      <c r="O6" s="3">
        <v>3.5429863052845602E-2</v>
      </c>
      <c r="P6" s="3">
        <v>3.5429863052845602E-2</v>
      </c>
      <c r="Q6" s="3">
        <v>3.8901597243099899E-4</v>
      </c>
      <c r="R6" s="3">
        <v>3.9887901496129398E-2</v>
      </c>
      <c r="S6" s="3">
        <v>3.9887901496129398E-2</v>
      </c>
      <c r="T6" s="3">
        <v>4.5833613425189303E-2</v>
      </c>
      <c r="U6" s="3">
        <v>4.5917488875795998E-2</v>
      </c>
      <c r="V6" s="3">
        <v>4.5833613425189303E-2</v>
      </c>
      <c r="W6" s="3">
        <v>4.5833613425189303E-2</v>
      </c>
      <c r="X6" s="3">
        <v>4.5833613425189303E-2</v>
      </c>
      <c r="Y6" s="3">
        <v>4.5833613425189303E-2</v>
      </c>
      <c r="Z6" s="5">
        <v>8.54276260437634E-5</v>
      </c>
      <c r="AA6" s="3">
        <v>5.2715182391671299E-2</v>
      </c>
      <c r="AB6" s="3">
        <v>4.5833613425189303E-2</v>
      </c>
      <c r="AC6" s="3">
        <v>4.5833613425189303E-2</v>
      </c>
      <c r="AD6" s="3">
        <v>5.35802076383066E-2</v>
      </c>
      <c r="AE6" s="3">
        <v>5.35802076383066E-2</v>
      </c>
      <c r="AF6" s="3">
        <v>6.6620427916188002E-4</v>
      </c>
    </row>
    <row r="7" spans="1:32" x14ac:dyDescent="0.25">
      <c r="A7" s="3" t="s">
        <v>19</v>
      </c>
      <c r="B7" s="1"/>
      <c r="C7" s="4">
        <v>0</v>
      </c>
      <c r="D7" s="4">
        <v>0.174305448222456</v>
      </c>
      <c r="E7" s="3">
        <v>0.13166140103235699</v>
      </c>
      <c r="F7" s="3">
        <v>0.13166140103235699</v>
      </c>
      <c r="G7" s="3">
        <v>0.13166140103235699</v>
      </c>
      <c r="H7" s="3">
        <v>0.13166140103235699</v>
      </c>
      <c r="I7" s="3">
        <v>0.13166140103235699</v>
      </c>
      <c r="J7" s="3">
        <v>0.13166140103235699</v>
      </c>
      <c r="K7" s="3">
        <v>0.13166140103235699</v>
      </c>
      <c r="L7" s="3">
        <v>0.13166140103235699</v>
      </c>
      <c r="M7" s="3">
        <v>2.1960304664387299E-2</v>
      </c>
      <c r="N7" s="3">
        <v>2.1960304664387299E-2</v>
      </c>
      <c r="O7" s="3">
        <v>0.13166140103235699</v>
      </c>
      <c r="P7" s="3">
        <v>0.13166140103235699</v>
      </c>
      <c r="Q7" s="3">
        <v>0.99392838039746501</v>
      </c>
      <c r="R7" s="3">
        <v>2.1960304664387299E-2</v>
      </c>
      <c r="S7" s="3">
        <v>2.1960304664387299E-2</v>
      </c>
      <c r="T7" s="3">
        <v>0.17429425422195699</v>
      </c>
      <c r="U7" s="3">
        <v>0.17269862742921599</v>
      </c>
      <c r="V7" s="3">
        <v>0.17429425422195699</v>
      </c>
      <c r="W7" s="3">
        <v>0.17429425422195699</v>
      </c>
      <c r="X7" s="3">
        <v>0.17429425422195699</v>
      </c>
      <c r="Y7" s="3">
        <v>0.17429425422195699</v>
      </c>
      <c r="Z7" s="3">
        <v>0.998988948083817</v>
      </c>
      <c r="AA7" s="3">
        <v>0.13029379825825799</v>
      </c>
      <c r="AB7" s="3">
        <v>0.17429425422195699</v>
      </c>
      <c r="AC7" s="3">
        <v>0.17429425422195699</v>
      </c>
      <c r="AD7" s="3">
        <v>3.4103641247681102E-2</v>
      </c>
      <c r="AE7" s="3">
        <v>3.4103641247681102E-2</v>
      </c>
      <c r="AF7" s="3">
        <v>0.99169175826567701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D30F-71C1-4096-A45E-2E613F4CA72F}">
  <dimension ref="A1:K3"/>
  <sheetViews>
    <sheetView workbookViewId="0"/>
  </sheetViews>
  <sheetFormatPr baseColWidth="10" defaultRowHeight="15" x14ac:dyDescent="0.25"/>
  <sheetData>
    <row r="1" spans="1:11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3" spans="1:11" x14ac:dyDescent="0.25">
      <c r="A3" s="3" t="s">
        <v>10</v>
      </c>
      <c r="B3" s="1" t="s">
        <v>11</v>
      </c>
      <c r="C3" s="3">
        <v>7596995.9957519099</v>
      </c>
      <c r="D3" s="3">
        <v>22809314.833812099</v>
      </c>
      <c r="E3" s="3">
        <v>35613499.330801398</v>
      </c>
      <c r="F3" s="3">
        <v>19892397.325620599</v>
      </c>
      <c r="G3" s="3">
        <v>21406639.444261301</v>
      </c>
      <c r="H3" s="3">
        <v>5798031.0072435699</v>
      </c>
      <c r="I3" s="4" t="s">
        <v>12</v>
      </c>
      <c r="J3" s="3">
        <v>163653763.31580299</v>
      </c>
      <c r="K3" s="3">
        <v>1704342.55814486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E6F73-1896-49FF-8062-34919371B4B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29</vt:i4>
      </vt:variant>
    </vt:vector>
  </HeadingPairs>
  <TitlesOfParts>
    <vt:vector size="34" baseType="lpstr">
      <vt:lpstr>WorkBook Summary</vt:lpstr>
      <vt:lpstr>Material Streams</vt:lpstr>
      <vt:lpstr>Compositions</vt:lpstr>
      <vt:lpstr>Energy Streams</vt:lpstr>
      <vt:lpstr>Hoja1</vt:lpstr>
      <vt:lpstr>S_1</vt:lpstr>
      <vt:lpstr>S_10</vt:lpstr>
      <vt:lpstr>S_11</vt:lpstr>
      <vt:lpstr>S_15</vt:lpstr>
      <vt:lpstr>S_16</vt:lpstr>
      <vt:lpstr>S_17</vt:lpstr>
      <vt:lpstr>S_18</vt:lpstr>
      <vt:lpstr>S_19</vt:lpstr>
      <vt:lpstr>S_2</vt:lpstr>
      <vt:lpstr>S_20</vt:lpstr>
      <vt:lpstr>S_21</vt:lpstr>
      <vt:lpstr>S_22</vt:lpstr>
      <vt:lpstr>S_23</vt:lpstr>
      <vt:lpstr>S_24</vt:lpstr>
      <vt:lpstr>S_25</vt:lpstr>
      <vt:lpstr>S_26</vt:lpstr>
      <vt:lpstr>S_27</vt:lpstr>
      <vt:lpstr>S_28</vt:lpstr>
      <vt:lpstr>S_29</vt:lpstr>
      <vt:lpstr>S_30</vt:lpstr>
      <vt:lpstr>S_31</vt:lpstr>
      <vt:lpstr>S_31A</vt:lpstr>
      <vt:lpstr>S_32</vt:lpstr>
      <vt:lpstr>S_4</vt:lpstr>
      <vt:lpstr>S_5</vt:lpstr>
      <vt:lpstr>S_6</vt:lpstr>
      <vt:lpstr>S_7</vt:lpstr>
      <vt:lpstr>S_8</vt:lpstr>
      <vt:lpstr>S_9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</dc:creator>
  <cp:lastModifiedBy>Cristopher</cp:lastModifiedBy>
  <dcterms:created xsi:type="dcterms:W3CDTF">2019-11-30T21:37:51Z</dcterms:created>
  <dcterms:modified xsi:type="dcterms:W3CDTF">2019-11-30T23:07:52Z</dcterms:modified>
</cp:coreProperties>
</file>