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001812815\Documents\GitHub\conversor-coordenadas\src\main\resources\validation\"/>
    </mc:Choice>
  </mc:AlternateContent>
  <xr:revisionPtr revIDLastSave="0" documentId="13_ncr:1_{3536134E-54A1-48F1-A613-ED52203D697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GEODESICAS-CARTESIANAS" sheetId="1" r:id="rId1"/>
    <sheet name="UTM-GEODESICAS" sheetId="2" r:id="rId2"/>
    <sheet name="ELIPSOID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7" i="1" l="1"/>
  <c r="M10" i="1"/>
  <c r="M18" i="1"/>
  <c r="J21" i="1"/>
  <c r="K13" i="1"/>
  <c r="K14" i="1"/>
  <c r="I13" i="1"/>
  <c r="H13" i="1"/>
  <c r="C3" i="1"/>
  <c r="M19" i="1" l="1"/>
  <c r="A16" i="2"/>
  <c r="C15" i="2" s="1"/>
  <c r="D15" i="2" s="1"/>
  <c r="A15" i="2"/>
  <c r="B15" i="2" s="1"/>
  <c r="B16" i="2" l="1"/>
  <c r="E15" i="2" s="1"/>
  <c r="B19" i="2"/>
  <c r="C19" i="2" s="1"/>
  <c r="E4" i="2"/>
  <c r="H15" i="2" l="1"/>
  <c r="F15" i="2"/>
  <c r="G15" i="2" s="1"/>
  <c r="I19" i="1"/>
  <c r="D19" i="2"/>
  <c r="E19" i="2" s="1"/>
  <c r="F19" i="2" s="1"/>
  <c r="B15" i="1"/>
  <c r="B14" i="1"/>
  <c r="J19" i="1" l="1"/>
  <c r="K19" i="1" s="1"/>
  <c r="E3" i="1"/>
  <c r="G4" i="2" s="1"/>
  <c r="D3" i="1"/>
  <c r="F4" i="2" l="1"/>
  <c r="L4" i="2" s="1"/>
  <c r="H3" i="1"/>
  <c r="J4" i="2" s="1"/>
  <c r="F3" i="1"/>
  <c r="M13" i="1" l="1"/>
  <c r="H4" i="2"/>
  <c r="D14" i="1"/>
  <c r="C20" i="1" s="1"/>
  <c r="I15" i="2"/>
  <c r="A19" i="2"/>
  <c r="G19" i="2"/>
  <c r="C23" i="2" l="1"/>
  <c r="I19" i="2"/>
  <c r="H19" i="2"/>
  <c r="C19" i="1"/>
  <c r="C18" i="1"/>
  <c r="I20" i="1"/>
  <c r="J20" i="1" s="1"/>
  <c r="K20" i="1" l="1"/>
  <c r="J19" i="2"/>
  <c r="C2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IMPORTANTE: 
SELECCIONE EL ELIPSOIDE
</t>
        </r>
      </text>
    </comment>
    <comment ref="A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CLICK, AQUÍ Seleccione el elipsoide con el que desea trabajar
</t>
        </r>
      </text>
    </comment>
  </commentList>
</comments>
</file>

<file path=xl/sharedStrings.xml><?xml version="1.0" encoding="utf-8"?>
<sst xmlns="http://schemas.openxmlformats.org/spreadsheetml/2006/main" count="102" uniqueCount="71">
  <si>
    <t>Elipsoide</t>
  </si>
  <si>
    <t>Año</t>
  </si>
  <si>
    <t>Semi eje mayor (a)</t>
  </si>
  <si>
    <t>Semi eje menor (b)</t>
  </si>
  <si>
    <t>Achatamiento (1/f)</t>
  </si>
  <si>
    <t>Bessel</t>
  </si>
  <si>
    <t>Airy</t>
  </si>
  <si>
    <t>Hyford</t>
  </si>
  <si>
    <t>Internacional</t>
  </si>
  <si>
    <t>Krasovsky</t>
  </si>
  <si>
    <t>Australian</t>
  </si>
  <si>
    <t>Fischer</t>
  </si>
  <si>
    <t>WGS72</t>
  </si>
  <si>
    <t>WGS84</t>
  </si>
  <si>
    <t>a</t>
  </si>
  <si>
    <t>b</t>
  </si>
  <si>
    <t>1/f</t>
  </si>
  <si>
    <t xml:space="preserve">INGRESE SUS DATOS </t>
  </si>
  <si>
    <t>Grados</t>
  </si>
  <si>
    <t>Minutos</t>
  </si>
  <si>
    <t>Segundos</t>
  </si>
  <si>
    <t>TRANSFORMACION DE COORDENADAS GEODESICAS A CARTESIANAS</t>
  </si>
  <si>
    <t>1er excentricidad</t>
  </si>
  <si>
    <t>2da excentricidad</t>
  </si>
  <si>
    <t>ALTURA ELIPSOIDAL (h)</t>
  </si>
  <si>
    <t>N</t>
  </si>
  <si>
    <t>O</t>
  </si>
  <si>
    <t>SEXADECIMAL</t>
  </si>
  <si>
    <t>RESULTADOS DE COORDENADAS CONVERTIDAS</t>
  </si>
  <si>
    <t>X</t>
  </si>
  <si>
    <t>Y</t>
  </si>
  <si>
    <t>Z</t>
  </si>
  <si>
    <t>TRANSFORMACION DE COORDENADAS CARTESIANAS A GEOGRAFICAS</t>
  </si>
  <si>
    <t>INGRESE SUS DATOS</t>
  </si>
  <si>
    <t>m.</t>
  </si>
  <si>
    <t>p</t>
  </si>
  <si>
    <r>
      <t>TITA (</t>
    </r>
    <r>
      <rPr>
        <sz val="11"/>
        <color theme="1"/>
        <rFont val="Calibri"/>
        <family val="2"/>
      </rPr>
      <t>θ)</t>
    </r>
  </si>
  <si>
    <r>
      <t>LATITUD (</t>
    </r>
    <r>
      <rPr>
        <sz val="10"/>
        <color theme="1"/>
        <rFont val="Calibri"/>
        <family val="2"/>
      </rPr>
      <t>φ</t>
    </r>
    <r>
      <rPr>
        <sz val="10"/>
        <color theme="1"/>
        <rFont val="Calibri"/>
        <family val="2"/>
        <scheme val="minor"/>
      </rPr>
      <t>)</t>
    </r>
  </si>
  <si>
    <r>
      <t>LONGITUD (</t>
    </r>
    <r>
      <rPr>
        <sz val="10"/>
        <color theme="1"/>
        <rFont val="Calibri"/>
        <family val="2"/>
      </rPr>
      <t>ƛ</t>
    </r>
    <r>
      <rPr>
        <sz val="10"/>
        <color theme="1"/>
        <rFont val="Calibri"/>
        <family val="2"/>
        <scheme val="minor"/>
      </rPr>
      <t>)</t>
    </r>
  </si>
  <si>
    <r>
      <t>LATITUD (</t>
    </r>
    <r>
      <rPr>
        <sz val="11"/>
        <color theme="1"/>
        <rFont val="Calibri"/>
        <family val="2"/>
      </rPr>
      <t>φ)</t>
    </r>
  </si>
  <si>
    <r>
      <t>LONGITUD (</t>
    </r>
    <r>
      <rPr>
        <sz val="11"/>
        <color theme="1"/>
        <rFont val="Calibri"/>
        <family val="2"/>
      </rPr>
      <t>ƛ)</t>
    </r>
  </si>
  <si>
    <t>ELECCION DE ELIPSOIDE</t>
  </si>
  <si>
    <t>S</t>
  </si>
  <si>
    <r>
      <t xml:space="preserve">ELIJA EL ELIPSOIDE CON EL QUE DESEA TRABAJAR EN LA HOJA ANTERIOR         </t>
    </r>
    <r>
      <rPr>
        <sz val="11"/>
        <color theme="1" tint="4.9989318521683403E-2"/>
        <rFont val="Calibri"/>
        <family val="2"/>
      </rPr>
      <t>←←←←←</t>
    </r>
  </si>
  <si>
    <t>Everest 1830</t>
  </si>
  <si>
    <t>Clarke 1866</t>
  </si>
  <si>
    <t>Clarke 1880</t>
  </si>
  <si>
    <t>Everest 1956</t>
  </si>
  <si>
    <t>TRANSFORMACION DE COORDENADAS GEODESICAS A UTM</t>
  </si>
  <si>
    <t>GRADOS</t>
  </si>
  <si>
    <t>MINUTOS</t>
  </si>
  <si>
    <t>SEGUNDOS</t>
  </si>
  <si>
    <t>RADIANES</t>
  </si>
  <si>
    <t>C</t>
  </si>
  <si>
    <r>
      <t xml:space="preserve">DELTA </t>
    </r>
    <r>
      <rPr>
        <sz val="11"/>
        <color theme="1"/>
        <rFont val="Calibri"/>
        <family val="2"/>
      </rPr>
      <t>ƛ</t>
    </r>
  </si>
  <si>
    <t>ZONA</t>
  </si>
  <si>
    <t xml:space="preserve"> ƛº</t>
  </si>
  <si>
    <t>A</t>
  </si>
  <si>
    <t>€</t>
  </si>
  <si>
    <t>n</t>
  </si>
  <si>
    <t>v</t>
  </si>
  <si>
    <t>s</t>
  </si>
  <si>
    <t>A1</t>
  </si>
  <si>
    <t>A2</t>
  </si>
  <si>
    <t>J2</t>
  </si>
  <si>
    <t>J4</t>
  </si>
  <si>
    <t>J6</t>
  </si>
  <si>
    <t>β</t>
  </si>
  <si>
    <t>γ</t>
  </si>
  <si>
    <t>α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</si>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</sst>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000"/>
    <numFmt numFmtId="166" formatCode="0.0000000000"/>
    <numFmt numFmtId="167" formatCode="0.000000000000"/>
    <numFmt numFmtId="168" formatCode="0.00000"/>
    <numFmt numFmtId="169" formatCode="0.000000000"/>
    <numFmt numFmtId="170" formatCode="0.000000"/>
    <numFmt numFmtId="171" formatCode="0.0000000000000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166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 vertical="center"/>
    </xf>
    <xf numFmtId="169" fontId="0" fillId="0" borderId="0" xfId="0" applyNumberFormat="1"/>
    <xf numFmtId="0" fontId="0" fillId="0" borderId="0" xfId="0" applyAlignment="1"/>
    <xf numFmtId="170" fontId="0" fillId="0" borderId="0" xfId="0" applyNumberFormat="1"/>
    <xf numFmtId="164" fontId="0" fillId="0" borderId="0" xfId="0" applyNumberFormat="1" applyAlignment="1">
      <alignment horizontal="center"/>
    </xf>
    <xf numFmtId="0" fontId="1" fillId="5" borderId="0" xfId="0" applyFont="1" applyFill="1" applyBorder="1" applyAlignment="1"/>
    <xf numFmtId="0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Border="1"/>
    <xf numFmtId="0" fontId="0" fillId="7" borderId="20" xfId="0" applyFill="1" applyBorder="1"/>
    <xf numFmtId="1" fontId="0" fillId="7" borderId="21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8" fontId="0" fillId="7" borderId="22" xfId="0" applyNumberFormat="1" applyFill="1" applyBorder="1" applyAlignment="1">
      <alignment horizontal="center"/>
    </xf>
    <xf numFmtId="0" fontId="0" fillId="6" borderId="23" xfId="0" applyFill="1" applyBorder="1"/>
    <xf numFmtId="1" fontId="0" fillId="6" borderId="24" xfId="0" applyNumberFormat="1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168" fontId="0" fillId="6" borderId="25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164" fontId="0" fillId="0" borderId="23" xfId="0" applyNumberFormat="1" applyBorder="1" applyProtection="1"/>
    <xf numFmtId="164" fontId="0" fillId="0" borderId="24" xfId="0" applyNumberFormat="1" applyBorder="1" applyProtection="1"/>
    <xf numFmtId="165" fontId="0" fillId="0" borderId="24" xfId="0" applyNumberFormat="1" applyBorder="1" applyProtection="1"/>
    <xf numFmtId="0" fontId="0" fillId="10" borderId="0" xfId="0" applyFill="1"/>
    <xf numFmtId="0" fontId="3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5" xfId="0" applyNumberFormat="1" applyBorder="1"/>
    <xf numFmtId="0" fontId="0" fillId="3" borderId="15" xfId="0" applyFill="1" applyBorder="1" applyAlignment="1">
      <alignment horizontal="center"/>
    </xf>
    <xf numFmtId="0" fontId="0" fillId="0" borderId="0" xfId="0" applyFill="1"/>
    <xf numFmtId="0" fontId="0" fillId="10" borderId="0" xfId="0" applyFill="1" applyBorder="1"/>
    <xf numFmtId="0" fontId="0" fillId="3" borderId="16" xfId="0" applyFill="1" applyBorder="1" applyAlignment="1">
      <alignment horizontal="center" vertical="center"/>
    </xf>
    <xf numFmtId="0" fontId="0" fillId="0" borderId="26" xfId="0" applyBorder="1"/>
    <xf numFmtId="0" fontId="0" fillId="0" borderId="19" xfId="0" applyBorder="1"/>
    <xf numFmtId="0" fontId="0" fillId="0" borderId="15" xfId="0" applyFill="1" applyBorder="1"/>
    <xf numFmtId="0" fontId="0" fillId="7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7" borderId="22" xfId="0" applyFill="1" applyBorder="1"/>
    <xf numFmtId="0" fontId="0" fillId="6" borderId="31" xfId="0" applyFill="1" applyBorder="1"/>
    <xf numFmtId="0" fontId="0" fillId="4" borderId="25" xfId="0" applyFill="1" applyBorder="1"/>
    <xf numFmtId="0" fontId="0" fillId="3" borderId="27" xfId="0" applyFill="1" applyBorder="1"/>
    <xf numFmtId="167" fontId="0" fillId="0" borderId="0" xfId="0" applyNumberFormat="1"/>
    <xf numFmtId="171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9" borderId="0" xfId="0" applyFont="1" applyFill="1" applyAlignment="1">
      <alignment horizontal="center" wrapText="1"/>
    </xf>
    <xf numFmtId="0" fontId="1" fillId="3" borderId="15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0" fillId="9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167" fontId="0" fillId="0" borderId="24" xfId="0" applyNumberFormat="1" applyBorder="1" applyAlignment="1" applyProtection="1">
      <alignment horizontal="center"/>
    </xf>
    <xf numFmtId="167" fontId="0" fillId="0" borderId="25" xfId="0" applyNumberFormat="1" applyBorder="1" applyAlignment="1" applyProtection="1">
      <alignment horizontal="center"/>
    </xf>
    <xf numFmtId="0" fontId="2" fillId="9" borderId="8" xfId="0" applyFont="1" applyFill="1" applyBorder="1" applyAlignment="1">
      <alignment horizontal="center" wrapText="1"/>
    </xf>
    <xf numFmtId="0" fontId="2" fillId="9" borderId="9" xfId="0" applyFont="1" applyFill="1" applyBorder="1" applyAlignment="1">
      <alignment horizontal="center" wrapText="1"/>
    </xf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1" fillId="3" borderId="27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9" fillId="9" borderId="5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/>
    </xf>
    <xf numFmtId="167" fontId="0" fillId="0" borderId="15" xfId="0" applyNumberFormat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65" fontId="0" fillId="7" borderId="21" xfId="0" applyNumberFormat="1" applyFill="1" applyBorder="1" applyAlignment="1">
      <alignment horizontal="center" vertical="center"/>
    </xf>
    <xf numFmtId="165" fontId="0" fillId="7" borderId="22" xfId="0" applyNumberFormat="1" applyFill="1" applyBorder="1" applyAlignment="1">
      <alignment horizontal="center" vertical="center"/>
    </xf>
    <xf numFmtId="165" fontId="0" fillId="4" borderId="24" xfId="0" applyNumberFormat="1" applyFill="1" applyBorder="1" applyAlignment="1">
      <alignment horizontal="center" vertical="center"/>
    </xf>
    <xf numFmtId="165" fontId="0" fillId="4" borderId="2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261588</xdr:colOff>
      <xdr:row>13</xdr:row>
      <xdr:rowOff>195516</xdr:rowOff>
    </xdr:from>
    <xdr:ext cx="1974515" cy="4363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FA45DCA-1457-624F-D8CC-774E3159D74E}"/>
                </a:ext>
              </a:extLst>
            </xdr:cNvPr>
            <xdr:cNvSpPr txBox="1"/>
          </xdr:nvSpPr>
          <xdr:spPr>
            <a:xfrm>
              <a:off x="6719538" y="3719766"/>
              <a:ext cx="1974515" cy="436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</m:t>
                    </m:r>
                    <m:r>
                      <a:rPr lang="es-PE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PE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arctan</m:t>
                    </m:r>
                    <m:r>
                      <a:rPr lang="es-PE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f>
                      <m:fPr>
                        <m:ctrlP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Z</m:t>
                        </m:r>
                        <m: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</m:t>
                        </m:r>
                        <m:r>
                          <m:rPr>
                            <m:sty m:val="p"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</m:t>
                        </m:r>
                      </m:num>
                      <m:den>
                        <m:d>
                          <m:dPr>
                            <m:ctrlP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ad>
                              <m:radPr>
                                <m:degHide m:val="on"/>
                                <m:ctrlP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sSup>
                                  <m:sSupPr>
                                    <m:ctrlPr>
                                      <a:rPr lang="es-P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P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es-P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𝑋</m:t>
                                    </m:r>
                                  </m:e>
                                  <m:sup>
                                    <m:r>
                                      <a:rPr lang="es-P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)+(</m:t>
                                </m:r>
                                <m:sSup>
                                  <m:sSupPr>
                                    <m:ctrlPr>
                                      <a:rPr lang="es-P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P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  <m:sup>
                                    <m:r>
                                      <a:rPr lang="es-P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</m:rad>
                            <m:r>
                              <a:rPr lang="es-PE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</m:d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 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s-PE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FA45DCA-1457-624F-D8CC-774E3159D74E}"/>
                </a:ext>
              </a:extLst>
            </xdr:cNvPr>
            <xdr:cNvSpPr txBox="1"/>
          </xdr:nvSpPr>
          <xdr:spPr>
            <a:xfrm>
              <a:off x="6719538" y="3719766"/>
              <a:ext cx="1974515" cy="436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P=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arctan(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 .a)/((√(〖(𝑋〗^2)+(𝑌^2))  ). 𝑏 ))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</xdr:col>
      <xdr:colOff>213963</xdr:colOff>
      <xdr:row>14</xdr:row>
      <xdr:rowOff>128841</xdr:rowOff>
    </xdr:from>
    <xdr:ext cx="3703386" cy="7020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D981656-DC7C-4A2B-B2DC-AB8BE6933683}"/>
                </a:ext>
              </a:extLst>
            </xdr:cNvPr>
            <xdr:cNvSpPr txBox="1"/>
          </xdr:nvSpPr>
          <xdr:spPr>
            <a:xfrm>
              <a:off x="6671913" y="4548441"/>
              <a:ext cx="3703386" cy="7020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l-GR"/>
                      <m:t>ϕ</m:t>
                    </m:r>
                    <m:r>
                      <a:rPr lang="es-PE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s-PE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arctan</m:t>
                            </m:r>
                            <m:d>
                              <m:dPr>
                                <m:ctrlP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s-P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es-PE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Z</m:t>
                                    </m:r>
                                    <m:r>
                                      <a:rPr lang="es-PE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es-PE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e</m:t>
                                    </m:r>
                                    <m:r>
                                      <a:rPr lang="es-PE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1 .  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es-PE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b</m:t>
                                    </m:r>
                                    <m:r>
                                      <a:rPr lang="es-PE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.  </m:t>
                                    </m:r>
                                    <m:sSup>
                                      <m:sSupPr>
                                        <m:ctrlPr>
                                          <a:rPr lang="es-P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func>
                                          <m:funcPr>
                                            <m:ctrlPr>
                                              <a:rPr lang="es-P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uncPr>
                                          <m:fName>
                                            <m:r>
                                              <m:rPr>
                                                <m:sty m:val="p"/>
                                              </m:rPr>
                                              <a:rPr lang="es-PE" sz="1100" b="0" i="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sin</m:t>
                                            </m:r>
                                          </m:fName>
                                          <m:e>
                                            <m:d>
                                              <m:dPr>
                                                <m:ctrlPr>
                                                  <a:rPr lang="es-P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r>
                                                  <m:rPr>
                                                    <m:sty m:val="p"/>
                                                  </m:rPr>
                                                  <a:rPr lang="es-PE" sz="1100" b="0" i="0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P</m:t>
                                                </m:r>
                                              </m:e>
                                            </m:d>
                                          </m:e>
                                        </m:func>
                                      </m:e>
                                      <m:sup>
                                        <m:r>
                                          <a:rPr lang="es-P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sup>
                                    </m:sSup>
                                  </m:num>
                                  <m:den>
                                    <m:d>
                                      <m:dPr>
                                        <m:ctrlPr>
                                          <a:rPr lang="es-P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d>
                                          <m:dPr>
                                            <m:ctrlPr>
                                              <a:rPr lang="es-P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rad>
                                              <m:radPr>
                                                <m:degHide m:val="on"/>
                                                <m:ctrlPr>
                                                  <a:rPr lang="es-P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radPr>
                                              <m:deg/>
                                              <m:e>
                                                <m:sSup>
                                                  <m:sSupPr>
                                                    <m:ctrlPr>
                                                      <a:rPr lang="es-P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pPr>
                                                  <m:e>
                                                    <m:r>
                                                      <a:rPr lang="es-P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(</m:t>
                                                    </m:r>
                                                    <m:r>
                                                      <a:rPr lang="es-P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𝑋</m:t>
                                                    </m:r>
                                                  </m:e>
                                                  <m:sup>
                                                    <m:r>
                                                      <a:rPr lang="es-P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</m:sup>
                                                </m:sSup>
                                                <m:r>
                                                  <a:rPr lang="es-P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)+(</m:t>
                                                </m:r>
                                                <m:sSup>
                                                  <m:sSupPr>
                                                    <m:ctrlPr>
                                                      <a:rPr lang="es-P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pPr>
                                                  <m:e>
                                                    <m:r>
                                                      <a:rPr lang="es-P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𝑌</m:t>
                                                    </m:r>
                                                  </m:e>
                                                  <m:sup>
                                                    <m:r>
                                                      <a:rPr lang="es-P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</m:sup>
                                                </m:sSup>
                                                <m:r>
                                                  <a:rPr lang="es-P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)</m:t>
                                                </m:r>
                                              </m:e>
                                            </m:rad>
                                            <m:r>
                                              <a:rPr lang="es-PE" sz="1100" b="0" i="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 </m:t>
                                            </m:r>
                                          </m:e>
                                        </m:d>
                                        <m:r>
                                          <a:rPr lang="es-P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−</m:t>
                                        </m:r>
                                        <m:r>
                                          <a:rPr lang="es-P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  <m:r>
                                          <a:rPr lang="es-P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e>
                                    </m:d>
                                    <m:r>
                                      <a:rPr lang="es-P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.  </m:t>
                                    </m:r>
                                    <m:r>
                                      <a:rPr lang="es-P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  <m:r>
                                      <a:rPr lang="es-P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. </m:t>
                                    </m:r>
                                    <m:d>
                                      <m:dPr>
                                        <m:ctrlPr>
                                          <a:rPr lang="es-P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p>
                                          <m:sSupPr>
                                            <m:ctrlPr>
                                              <a:rPr lang="es-P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func>
                                              <m:funcPr>
                                                <m:ctrlPr>
                                                  <a:rPr lang="es-P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uncPr>
                                              <m:fName>
                                                <m:r>
                                                  <m:rPr>
                                                    <m:sty m:val="p"/>
                                                  </m:rPr>
                                                  <a:rPr lang="es-PE" sz="1100" b="0" i="0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cos</m:t>
                                                </m:r>
                                              </m:fName>
                                              <m:e>
                                                <m:d>
                                                  <m:dPr>
                                                    <m:ctrlPr>
                                                      <a:rPr lang="es-P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dPr>
                                                  <m:e>
                                                    <m:r>
                                                      <m:rPr>
                                                        <m:sty m:val="p"/>
                                                      </m:rPr>
                                                      <a:rPr lang="es-PE" sz="1100" b="0" i="0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P</m:t>
                                                    </m:r>
                                                  </m:e>
                                                </m:d>
                                              </m:e>
                                            </m:func>
                                          </m:e>
                                          <m:sup>
                                            <m:r>
                                              <a:rPr lang="es-P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3</m:t>
                                            </m:r>
                                          </m:sup>
                                        </m:sSup>
                                      </m:e>
                                    </m:d>
                                  </m:den>
                                </m:f>
                              </m:e>
                            </m:d>
                          </m:e>
                        </m:d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 180</m:t>
                        </m:r>
                      </m:num>
                      <m:den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𝜋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D981656-DC7C-4A2B-B2DC-AB8BE6933683}"/>
                </a:ext>
              </a:extLst>
            </xdr:cNvPr>
            <xdr:cNvSpPr txBox="1"/>
          </xdr:nvSpPr>
          <xdr:spPr>
            <a:xfrm>
              <a:off x="6671913" y="4548441"/>
              <a:ext cx="3703386" cy="7020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i="0">
                  <a:latin typeface="Cambria Math" panose="02040503050406030204" pitchFamily="18" charset="0"/>
                </a:rPr>
                <a:t>"ϕ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"=((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arctan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(Z+e1 .  b .  〖sin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⁡(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〗^3)/(((√(〖(𝑋〗^2)+(𝑌^2))  )  −𝑒2).  𝑎 .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〖cos⁡(P)〗^3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)). 180)/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11</xdr:col>
      <xdr:colOff>318738</xdr:colOff>
      <xdr:row>14</xdr:row>
      <xdr:rowOff>405066</xdr:rowOff>
    </xdr:from>
    <xdr:ext cx="1291892" cy="431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1E40A4C-0937-493F-8205-EA8E130C5573}"/>
                </a:ext>
              </a:extLst>
            </xdr:cNvPr>
            <xdr:cNvSpPr txBox="1"/>
          </xdr:nvSpPr>
          <xdr:spPr>
            <a:xfrm>
              <a:off x="10720038" y="4824666"/>
              <a:ext cx="1291892" cy="431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ƛ=</m:t>
                    </m:r>
                    <m:f>
                      <m:fPr>
                        <m:ctrlP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arctan</m:t>
                        </m:r>
                        <m:d>
                          <m:dPr>
                            <m:ctrlP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P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num>
                              <m:den>
                                <m: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den>
                            </m:f>
                          </m:e>
                        </m:d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 180 </m:t>
                        </m:r>
                      </m:num>
                      <m:den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𝜋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1E40A4C-0937-493F-8205-EA8E130C5573}"/>
                </a:ext>
              </a:extLst>
            </xdr:cNvPr>
            <xdr:cNvSpPr txBox="1"/>
          </xdr:nvSpPr>
          <xdr:spPr>
            <a:xfrm>
              <a:off x="10720038" y="4824666"/>
              <a:ext cx="1291892" cy="431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ƛ=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arctan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(𝑌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𝑍)  . 180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)/𝜋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12</xdr:col>
      <xdr:colOff>699738</xdr:colOff>
      <xdr:row>13</xdr:row>
      <xdr:rowOff>566991</xdr:rowOff>
    </xdr:from>
    <xdr:ext cx="1145955" cy="393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087666C-38E4-47A9-A455-4AF87D5E7C7D}"/>
                </a:ext>
              </a:extLst>
            </xdr:cNvPr>
            <xdr:cNvSpPr txBox="1"/>
          </xdr:nvSpPr>
          <xdr:spPr>
            <a:xfrm>
              <a:off x="11958288" y="4091241"/>
              <a:ext cx="1145955" cy="393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  <m:r>
                      <a:rPr lang="es-PE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p>
                                <m: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)+(</m:t>
                            </m:r>
                            <m:sSup>
                              <m:sSupPr>
                                <m:ctrlP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p>
                                <m: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rad>
                        <m: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num>
                      <m:den>
                        <m:func>
                          <m:funcPr>
                            <m:ctrlP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PE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d>
                              <m:dPr>
                                <m:ctrlP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l-GR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ϕ</m:t>
                                </m:r>
                              </m:e>
                            </m:d>
                          </m:e>
                        </m:func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087666C-38E4-47A9-A455-4AF87D5E7C7D}"/>
                </a:ext>
              </a:extLst>
            </xdr:cNvPr>
            <xdr:cNvSpPr txBox="1"/>
          </xdr:nvSpPr>
          <xdr:spPr>
            <a:xfrm>
              <a:off x="11958288" y="4091241"/>
              <a:ext cx="1145955" cy="393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h=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√(〖(𝑋〗^2)+(𝑌^2))  )/(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cos⁡(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ϕ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)−𝑁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s-P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1"/>
  <sheetViews>
    <sheetView showGridLines="0" tabSelected="1" topLeftCell="B14" workbookViewId="0">
      <selection activeCell="C20" sqref="C20"/>
    </sheetView>
  </sheetViews>
  <sheetFormatPr defaultColWidth="10.90625" defaultRowHeight="14.5" x14ac:dyDescent="0.35"/>
  <cols>
    <col min="1" max="1" width="19" customWidth="1"/>
    <col min="2" max="2" width="19.453125" customWidth="1"/>
    <col min="3" max="3" width="16.1796875" customWidth="1"/>
    <col min="4" max="4" width="14.1796875" customWidth="1"/>
    <col min="6" max="6" width="8.26953125" customWidth="1"/>
    <col min="7" max="7" width="8.453125" customWidth="1"/>
    <col min="8" max="8" width="15" customWidth="1"/>
    <col min="9" max="9" width="14.1796875" customWidth="1"/>
    <col min="10" max="10" width="12.1796875" customWidth="1"/>
    <col min="11" max="11" width="16.7265625" customWidth="1"/>
    <col min="12" max="12" width="7.1796875" customWidth="1"/>
    <col min="13" max="13" width="25" customWidth="1"/>
    <col min="14" max="14" width="12.81640625" customWidth="1"/>
  </cols>
  <sheetData>
    <row r="1" spans="1:14" ht="15" customHeight="1" thickBot="1" x14ac:dyDescent="0.4">
      <c r="A1" s="76" t="s">
        <v>41</v>
      </c>
      <c r="B1" s="76"/>
    </row>
    <row r="2" spans="1:14" ht="15.75" customHeight="1" thickBot="1" x14ac:dyDescent="0.4">
      <c r="A2" s="76"/>
      <c r="B2" s="76"/>
      <c r="C2" s="39" t="s">
        <v>14</v>
      </c>
      <c r="D2" s="40" t="s">
        <v>15</v>
      </c>
      <c r="E2" s="40" t="s">
        <v>16</v>
      </c>
      <c r="F2" s="79" t="s">
        <v>22</v>
      </c>
      <c r="G2" s="79"/>
      <c r="H2" s="79" t="s">
        <v>23</v>
      </c>
      <c r="I2" s="80"/>
    </row>
    <row r="3" spans="1:14" ht="27.75" customHeight="1" thickBot="1" x14ac:dyDescent="0.4">
      <c r="A3" s="89" t="s">
        <v>13</v>
      </c>
      <c r="C3" s="41">
        <f>VLOOKUP(A3,ELIPSOIDES!A4:E16,3)</f>
        <v>6378137</v>
      </c>
      <c r="D3" s="42">
        <f>VLOOKUP(A3,ELIPSOIDES!A4:E16,4)</f>
        <v>6356752.3140000002</v>
      </c>
      <c r="E3" s="43">
        <f>VLOOKUP(A3,ELIPSOIDES!A4:E16,5)</f>
        <v>298.25700000000001</v>
      </c>
      <c r="F3" s="81">
        <f>(C3^2-D3^2)/C3^2</f>
        <v>6.6943800667646578E-3</v>
      </c>
      <c r="G3" s="81"/>
      <c r="H3" s="81">
        <f>(C3^2-D3^2)/D3^2</f>
        <v>6.739496819936062E-3</v>
      </c>
      <c r="I3" s="82"/>
    </row>
    <row r="4" spans="1:14" ht="23.25" customHeight="1" thickBot="1" x14ac:dyDescent="0.4">
      <c r="A4" s="90"/>
    </row>
    <row r="5" spans="1:14" ht="31.5" customHeight="1" thickTop="1" thickBot="1" x14ac:dyDescent="0.4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</row>
    <row r="6" spans="1:14" ht="35.25" customHeight="1" thickBot="1" x14ac:dyDescent="0.5">
      <c r="B6" s="83" t="s">
        <v>21</v>
      </c>
      <c r="C6" s="84"/>
      <c r="D6" s="84"/>
      <c r="E6" s="84"/>
      <c r="F6" s="85"/>
      <c r="G6" s="54"/>
      <c r="H6" s="85" t="s">
        <v>32</v>
      </c>
      <c r="I6" s="84"/>
      <c r="J6" s="84"/>
      <c r="K6" s="84"/>
      <c r="L6" s="85"/>
      <c r="M6" s="85"/>
      <c r="N6" s="86"/>
    </row>
    <row r="7" spans="1:14" ht="18.5" x14ac:dyDescent="0.45">
      <c r="B7" s="77" t="s">
        <v>17</v>
      </c>
      <c r="C7" s="78"/>
      <c r="D7" s="78"/>
      <c r="E7" s="78"/>
      <c r="G7" s="54"/>
      <c r="I7" s="87" t="s">
        <v>33</v>
      </c>
      <c r="J7" s="88"/>
      <c r="K7" s="88"/>
    </row>
    <row r="8" spans="1:14" ht="15" thickBot="1" x14ac:dyDescent="0.4">
      <c r="C8" s="47" t="s">
        <v>18</v>
      </c>
      <c r="D8" s="47" t="s">
        <v>19</v>
      </c>
      <c r="E8" s="47" t="s">
        <v>20</v>
      </c>
      <c r="G8" s="44"/>
      <c r="H8" s="55" t="s">
        <v>29</v>
      </c>
      <c r="I8" s="58">
        <v>2932387.00108574</v>
      </c>
      <c r="J8" s="56" t="s">
        <v>34</v>
      </c>
    </row>
    <row r="9" spans="1:14" ht="15" thickBot="1" x14ac:dyDescent="0.4">
      <c r="B9" s="45" t="s">
        <v>37</v>
      </c>
      <c r="C9" s="12">
        <v>22</v>
      </c>
      <c r="D9" s="13">
        <v>10</v>
      </c>
      <c r="E9" s="14">
        <v>5.2</v>
      </c>
      <c r="F9" s="16" t="s">
        <v>42</v>
      </c>
      <c r="G9" s="44"/>
      <c r="H9" s="55" t="s">
        <v>30</v>
      </c>
      <c r="I9" s="58">
        <v>-5131941.3566062972</v>
      </c>
      <c r="J9" s="57" t="s">
        <v>34</v>
      </c>
    </row>
    <row r="10" spans="1:14" ht="15" thickBot="1" x14ac:dyDescent="0.4">
      <c r="B10" s="45" t="s">
        <v>38</v>
      </c>
      <c r="C10" s="12">
        <v>60</v>
      </c>
      <c r="D10" s="13">
        <v>15</v>
      </c>
      <c r="E10" s="14">
        <v>23</v>
      </c>
      <c r="F10" s="15" t="s">
        <v>26</v>
      </c>
      <c r="G10" s="44"/>
      <c r="H10" s="55" t="s">
        <v>31</v>
      </c>
      <c r="I10" s="58">
        <v>-2392133.9914752669</v>
      </c>
      <c r="J10" s="57" t="s">
        <v>34</v>
      </c>
      <c r="M10" s="17">
        <f>(H13*D3)</f>
        <v>37572501600383.727</v>
      </c>
    </row>
    <row r="11" spans="1:14" x14ac:dyDescent="0.35">
      <c r="B11" s="46" t="s">
        <v>24</v>
      </c>
      <c r="C11" s="91">
        <v>1250</v>
      </c>
      <c r="D11" s="92"/>
      <c r="E11" s="93"/>
      <c r="G11" s="44"/>
      <c r="H11" s="6"/>
      <c r="I11" t="s">
        <v>35</v>
      </c>
    </row>
    <row r="12" spans="1:14" hidden="1" x14ac:dyDescent="0.35">
      <c r="G12" s="44"/>
      <c r="H12" s="6" t="s">
        <v>35</v>
      </c>
      <c r="I12" t="s">
        <v>36</v>
      </c>
      <c r="K12" s="8" t="s">
        <v>27</v>
      </c>
      <c r="L12" s="8"/>
      <c r="M12" s="8" t="s">
        <v>25</v>
      </c>
    </row>
    <row r="13" spans="1:14" ht="48" customHeight="1" x14ac:dyDescent="0.35">
      <c r="B13" s="3" t="s">
        <v>27</v>
      </c>
      <c r="D13" t="s">
        <v>25</v>
      </c>
      <c r="G13" s="44"/>
      <c r="H13" s="9">
        <f>SQRT(I8^2+I9^2)</f>
        <v>5910644.2636807961</v>
      </c>
      <c r="I13" s="4">
        <f>ATAN((I10*C3)/(H13*D3))</f>
        <v>-0.38573484357315346</v>
      </c>
      <c r="K13" s="4">
        <f>(ATAN(I9/I8))*180/PI()</f>
        <v>-60.256388888888885</v>
      </c>
      <c r="M13">
        <f>C3/SQRT(1-F3*SIN(RADIANS(K14))^2)</f>
        <v>6381178.7038318822</v>
      </c>
    </row>
    <row r="14" spans="1:14" ht="70.5" customHeight="1" x14ac:dyDescent="0.35">
      <c r="B14" s="4">
        <f>IF(F9="S",-1,1)*(((E9/60)/60)+(D9/60)+C9)</f>
        <v>-22.168111111111109</v>
      </c>
      <c r="C14" s="5"/>
      <c r="D14" s="5">
        <f>(C3)/(1-(F3*SIN(RADIANS(B14))^2))^(1/2)</f>
        <v>6381178.7038318822</v>
      </c>
      <c r="G14" s="44"/>
      <c r="K14" s="7">
        <f>(ATAN((I10+H3*D3*SIN(I13)^3)/(H13-F3*C3*COS(I13)^3)))*180/PI()</f>
        <v>-22.168111111111152</v>
      </c>
    </row>
    <row r="15" spans="1:14" ht="64.5" customHeight="1" x14ac:dyDescent="0.35">
      <c r="B15" s="4">
        <f>IF(F10="O",-1,1)*(((E10/60)/60)+(D10/60)+C10)</f>
        <v>-60.256388888888885</v>
      </c>
      <c r="G15" s="44"/>
    </row>
    <row r="16" spans="1:14" ht="15" thickBot="1" x14ac:dyDescent="0.4">
      <c r="G16" s="44"/>
      <c r="M16" s="67"/>
    </row>
    <row r="17" spans="1:13" ht="30" customHeight="1" thickBot="1" x14ac:dyDescent="0.4">
      <c r="A17" s="11"/>
      <c r="B17" s="73" t="s">
        <v>28</v>
      </c>
      <c r="C17" s="74"/>
      <c r="D17" s="75"/>
      <c r="E17" s="75"/>
      <c r="F17" s="75"/>
      <c r="G17" s="54"/>
      <c r="H17" s="70" t="s">
        <v>28</v>
      </c>
      <c r="I17" s="71"/>
      <c r="J17" s="71"/>
      <c r="K17" s="71"/>
      <c r="L17" s="72"/>
      <c r="M17">
        <f>(I10+(H3*D3)*SIN(I13)^3)</f>
        <v>-2394415.688423676</v>
      </c>
    </row>
    <row r="18" spans="1:13" ht="15" thickBot="1" x14ac:dyDescent="0.4">
      <c r="B18" s="59" t="s">
        <v>29</v>
      </c>
      <c r="C18" s="62">
        <f>(D14+C11)*COS(RADIANS(B14))*COS(RADIANS(B15))</f>
        <v>2932387.00108574</v>
      </c>
      <c r="D18" t="s">
        <v>34</v>
      </c>
      <c r="G18" s="44"/>
      <c r="I18" s="65" t="s">
        <v>18</v>
      </c>
      <c r="J18" s="65" t="s">
        <v>19</v>
      </c>
      <c r="K18" s="65" t="s">
        <v>20</v>
      </c>
      <c r="M18" s="66">
        <f>(H13-(F3*C3)*COS(I13)^3)</f>
        <v>5876683.9490332576</v>
      </c>
    </row>
    <row r="19" spans="1:13" x14ac:dyDescent="0.35">
      <c r="B19" s="60" t="s">
        <v>30</v>
      </c>
      <c r="C19" s="63">
        <f>(D14+C11)*COS(RADIANS(B14))*SIN(RADIANS(B15))</f>
        <v>-5131941.3566062972</v>
      </c>
      <c r="D19" t="s">
        <v>34</v>
      </c>
      <c r="G19" s="44"/>
      <c r="H19" s="18" t="s">
        <v>40</v>
      </c>
      <c r="I19" s="19">
        <f>TRUNC(K13,0)</f>
        <v>-60</v>
      </c>
      <c r="J19" s="20">
        <f>ABS(TRUNC((K13-I19)*60))</f>
        <v>15</v>
      </c>
      <c r="K19" s="21">
        <f>IF(K13&lt;0,ABS((((K13-I19)*60)+J19)*60),ABS((((K13-I19)*60)-J19)*60))</f>
        <v>22.999999999987608</v>
      </c>
      <c r="M19" s="67">
        <f>ATAN(M17/M18)*180/PI()</f>
        <v>-22.168111111111152</v>
      </c>
    </row>
    <row r="20" spans="1:13" ht="15" thickBot="1" x14ac:dyDescent="0.4">
      <c r="B20" s="61" t="s">
        <v>31</v>
      </c>
      <c r="C20" s="64">
        <f>(D14*(D3^2/C3^2)+C11)*SIN(RADIANS(B14))</f>
        <v>-2392133.9914752669</v>
      </c>
      <c r="D20" t="s">
        <v>34</v>
      </c>
      <c r="G20" s="44"/>
      <c r="H20" s="22" t="s">
        <v>39</v>
      </c>
      <c r="I20" s="23">
        <f>TRUNC(K14,0)</f>
        <v>-22</v>
      </c>
      <c r="J20" s="24">
        <f>ABS(TRUNC((K14-I20)*60))</f>
        <v>10</v>
      </c>
      <c r="K20" s="25">
        <f>IF(K14&gt;0,ABS((((K14-I20)*60)-J20)*60),ABS((((K14-I20)*60)+J20)*60))</f>
        <v>5.2000000001470426</v>
      </c>
    </row>
    <row r="21" spans="1:13" ht="15" thickBot="1" x14ac:dyDescent="0.4">
      <c r="C21">
        <v>-2392130.8340244102</v>
      </c>
      <c r="G21" s="44"/>
      <c r="H21" s="68" t="s">
        <v>24</v>
      </c>
      <c r="I21" s="69"/>
      <c r="J21" s="26">
        <f>(H13/COS(RADIANS(K14)))-M13</f>
        <v>1250.0000000018626</v>
      </c>
      <c r="K21" s="10"/>
    </row>
  </sheetData>
  <sheetProtection selectLockedCells="1" selectUnlockedCells="1"/>
  <dataConsolidate/>
  <mergeCells count="14">
    <mergeCell ref="H21:I21"/>
    <mergeCell ref="H17:L17"/>
    <mergeCell ref="B17:F17"/>
    <mergeCell ref="A1:B2"/>
    <mergeCell ref="B7:E7"/>
    <mergeCell ref="F2:G2"/>
    <mergeCell ref="H2:I2"/>
    <mergeCell ref="F3:G3"/>
    <mergeCell ref="H3:I3"/>
    <mergeCell ref="B6:F6"/>
    <mergeCell ref="H6:N6"/>
    <mergeCell ref="I7:K7"/>
    <mergeCell ref="A3:A4"/>
    <mergeCell ref="C11:E11"/>
  </mergeCells>
  <dataValidations disablePrompts="1" count="2">
    <dataValidation type="list" allowBlank="1" showInputMessage="1" showErrorMessage="1" sqref="F9" xr:uid="{00000000-0002-0000-0000-000000000000}">
      <formula1>"S,N"</formula1>
    </dataValidation>
    <dataValidation type="list" allowBlank="1" showInputMessage="1" showErrorMessage="1" sqref="F10" xr:uid="{00000000-0002-0000-0000-000001000000}">
      <formula1>"E,O"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2000000}">
          <x14:formula1>
            <xm:f>ELIPSOIDES!$A$4:$A$16</xm:f>
          </x14:formula1>
          <xm:sqref>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L25"/>
  <sheetViews>
    <sheetView showGridLines="0" workbookViewId="0">
      <selection activeCell="J12" sqref="J12"/>
    </sheetView>
  </sheetViews>
  <sheetFormatPr defaultColWidth="10.90625" defaultRowHeight="14.5" x14ac:dyDescent="0.35"/>
  <cols>
    <col min="1" max="1" width="20" customWidth="1"/>
    <col min="2" max="2" width="15.1796875" customWidth="1"/>
    <col min="3" max="4" width="13.81640625" customWidth="1"/>
    <col min="5" max="5" width="16.26953125" customWidth="1"/>
    <col min="6" max="6" width="18.453125" customWidth="1"/>
    <col min="7" max="7" width="14.26953125" customWidth="1"/>
    <col min="8" max="8" width="13.453125" customWidth="1"/>
    <col min="9" max="9" width="15" customWidth="1"/>
    <col min="10" max="10" width="16.1796875" customWidth="1"/>
    <col min="12" max="12" width="16.1796875" customWidth="1"/>
  </cols>
  <sheetData>
    <row r="1" spans="1:12" ht="15" thickBot="1" x14ac:dyDescent="0.4"/>
    <row r="2" spans="1:12" x14ac:dyDescent="0.35">
      <c r="A2" s="94" t="s">
        <v>43</v>
      </c>
      <c r="B2" s="95"/>
      <c r="C2" s="96"/>
      <c r="D2" s="6"/>
      <c r="E2" s="6"/>
      <c r="F2" s="6"/>
      <c r="G2" s="6"/>
      <c r="H2" s="6"/>
      <c r="I2" s="6"/>
      <c r="J2" s="6"/>
      <c r="K2" s="6"/>
    </row>
    <row r="3" spans="1:12" x14ac:dyDescent="0.35">
      <c r="A3" s="97"/>
      <c r="B3" s="98"/>
      <c r="C3" s="99"/>
      <c r="D3" s="6"/>
      <c r="E3" s="48" t="s">
        <v>14</v>
      </c>
      <c r="F3" s="48" t="s">
        <v>15</v>
      </c>
      <c r="G3" s="48" t="s">
        <v>16</v>
      </c>
      <c r="H3" s="103" t="s">
        <v>22</v>
      </c>
      <c r="I3" s="103"/>
      <c r="J3" s="103" t="s">
        <v>23</v>
      </c>
      <c r="K3" s="103"/>
      <c r="L3" s="52" t="s">
        <v>53</v>
      </c>
    </row>
    <row r="4" spans="1:12" ht="15" thickBot="1" x14ac:dyDescent="0.4">
      <c r="A4" s="100"/>
      <c r="B4" s="101"/>
      <c r="C4" s="102"/>
      <c r="D4" s="6"/>
      <c r="E4" s="49">
        <f>'GEODESICAS-CARTESIANAS'!C3</f>
        <v>6378137</v>
      </c>
      <c r="F4" s="29">
        <f>'GEODESICAS-CARTESIANAS'!D3</f>
        <v>6356752.3140000002</v>
      </c>
      <c r="G4" s="50">
        <f>'GEODESICAS-CARTESIANAS'!E3</f>
        <v>298.25700000000001</v>
      </c>
      <c r="H4" s="104">
        <f>'GEODESICAS-CARTESIANAS'!F3</f>
        <v>6.6943800667646578E-3</v>
      </c>
      <c r="I4" s="104"/>
      <c r="J4" s="104">
        <f>'GEODESICAS-CARTESIANAS'!H3</f>
        <v>6.739496819936062E-3</v>
      </c>
      <c r="K4" s="104"/>
      <c r="L4" s="51">
        <f>(E4^2)/F4</f>
        <v>6399593.6260053245</v>
      </c>
    </row>
    <row r="5" spans="1:12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2" ht="15" thickBot="1" x14ac:dyDescent="0.4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2" x14ac:dyDescent="0.35">
      <c r="A7" s="105" t="s">
        <v>48</v>
      </c>
      <c r="B7" s="106"/>
      <c r="C7" s="106"/>
      <c r="D7" s="106"/>
      <c r="E7" s="106"/>
      <c r="F7" s="106"/>
      <c r="G7" s="107"/>
      <c r="H7" s="6"/>
      <c r="I7" s="6"/>
      <c r="J7" s="6"/>
      <c r="K7" s="6"/>
    </row>
    <row r="8" spans="1:12" ht="15" thickBot="1" x14ac:dyDescent="0.4">
      <c r="A8" s="108"/>
      <c r="B8" s="109"/>
      <c r="C8" s="109"/>
      <c r="D8" s="109"/>
      <c r="E8" s="109"/>
      <c r="F8" s="109"/>
      <c r="G8" s="110"/>
      <c r="H8" s="6"/>
      <c r="I8" s="6"/>
      <c r="J8" s="6"/>
      <c r="K8" s="6"/>
    </row>
    <row r="9" spans="1:12" ht="15" thickBot="1" x14ac:dyDescent="0.4">
      <c r="A9" s="6"/>
      <c r="B9" s="6" t="s">
        <v>49</v>
      </c>
      <c r="C9" s="6" t="s">
        <v>50</v>
      </c>
      <c r="D9" s="6" t="s">
        <v>51</v>
      </c>
      <c r="E9" s="6"/>
      <c r="F9" s="6"/>
      <c r="G9" s="6"/>
      <c r="H9" s="6"/>
      <c r="I9" s="6"/>
      <c r="J9" s="6"/>
      <c r="K9" s="6"/>
    </row>
    <row r="10" spans="1:12" ht="15" thickBot="1" x14ac:dyDescent="0.4">
      <c r="A10" s="45" t="s">
        <v>37</v>
      </c>
      <c r="B10" s="28">
        <v>22</v>
      </c>
      <c r="C10" s="29">
        <v>10</v>
      </c>
      <c r="D10" s="30">
        <v>5.2</v>
      </c>
      <c r="E10" s="31" t="s">
        <v>42</v>
      </c>
      <c r="F10" s="6"/>
      <c r="G10" s="6"/>
      <c r="H10" s="6"/>
      <c r="I10" s="6"/>
      <c r="J10" s="6"/>
      <c r="K10" s="6"/>
    </row>
    <row r="11" spans="1:12" ht="15" thickBot="1" x14ac:dyDescent="0.4">
      <c r="A11" s="45" t="s">
        <v>38</v>
      </c>
      <c r="B11" s="28">
        <v>60</v>
      </c>
      <c r="C11" s="29">
        <v>15</v>
      </c>
      <c r="D11" s="30">
        <v>23</v>
      </c>
      <c r="E11" s="32" t="s">
        <v>26</v>
      </c>
      <c r="F11" s="6"/>
      <c r="G11" s="6"/>
      <c r="H11" s="6"/>
      <c r="I11" s="6"/>
      <c r="J11" s="6"/>
      <c r="K11" s="6"/>
    </row>
    <row r="12" spans="1:12" x14ac:dyDescent="0.35">
      <c r="A12" s="45" t="s">
        <v>24</v>
      </c>
      <c r="B12" s="111">
        <v>1250</v>
      </c>
      <c r="C12" s="112"/>
      <c r="D12" s="113"/>
      <c r="E12" s="6"/>
      <c r="F12" s="6"/>
      <c r="G12" s="6"/>
      <c r="H12" s="6"/>
      <c r="I12" s="6"/>
      <c r="J12" s="6"/>
      <c r="K12" s="6"/>
    </row>
    <row r="13" spans="1:12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2" hidden="1" x14ac:dyDescent="0.35">
      <c r="A14" s="33" t="s">
        <v>27</v>
      </c>
      <c r="B14" s="33" t="s">
        <v>52</v>
      </c>
      <c r="C14" s="33" t="s">
        <v>55</v>
      </c>
      <c r="D14" s="33" t="s">
        <v>56</v>
      </c>
      <c r="E14" s="33" t="s">
        <v>54</v>
      </c>
      <c r="F14" s="33" t="s">
        <v>57</v>
      </c>
      <c r="G14" s="34" t="s">
        <v>58</v>
      </c>
      <c r="H14" s="34" t="s">
        <v>59</v>
      </c>
      <c r="I14" s="34" t="s">
        <v>60</v>
      </c>
      <c r="J14" s="6"/>
      <c r="K14" s="6"/>
    </row>
    <row r="15" spans="1:12" hidden="1" x14ac:dyDescent="0.35">
      <c r="A15" s="6">
        <f>IF(E10="S",-1,1)*(((D10/60)/60)+(C10/60)+B10)</f>
        <v>-22.168111111111109</v>
      </c>
      <c r="B15" s="27">
        <f>A15*PI()/180</f>
        <v>-0.38690652783682733</v>
      </c>
      <c r="C15" s="6">
        <f>TRUNC((A16/6)+31)</f>
        <v>20</v>
      </c>
      <c r="D15" s="6">
        <f>C15*6-183</f>
        <v>-63</v>
      </c>
      <c r="E15" s="27">
        <f>B16-(D15*PI()/180)</f>
        <v>4.7885047283188875E-2</v>
      </c>
      <c r="F15" s="27">
        <f>COS(B15)*SIN(E15)</f>
        <v>4.4328474538690064E-2</v>
      </c>
      <c r="G15" s="27">
        <f>1/2*(LN((1+F15)/(1-F15)))</f>
        <v>4.435754417232108E-2</v>
      </c>
      <c r="H15" s="27">
        <f>ATAN((TAN(B15))/COS(E15))-B15</f>
        <v>-4.0093955219833166E-4</v>
      </c>
      <c r="I15" s="35">
        <f>(L4*0.9996)/(1+J4*COS(B15)^2)^(1/2)</f>
        <v>6378626.2323503494</v>
      </c>
      <c r="J15" s="6"/>
      <c r="K15" s="6"/>
    </row>
    <row r="16" spans="1:12" hidden="1" x14ac:dyDescent="0.35">
      <c r="A16" s="6">
        <f>IF(E11="O",-1,1)*(((D11/60)/60)+(C11/60)+B11)</f>
        <v>-60.256388888888885</v>
      </c>
      <c r="B16" s="27">
        <f>A16*PI()/180</f>
        <v>-1.0516723814732387</v>
      </c>
      <c r="C16" s="6"/>
      <c r="D16" s="6"/>
      <c r="E16" s="6"/>
      <c r="F16" s="6"/>
      <c r="G16" s="6"/>
      <c r="H16" s="6"/>
      <c r="I16" s="6"/>
      <c r="J16" s="6"/>
      <c r="K16" s="6"/>
    </row>
    <row r="17" spans="1:11" hidden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hidden="1" x14ac:dyDescent="0.35">
      <c r="A18" s="33" t="s">
        <v>61</v>
      </c>
      <c r="B18" s="33" t="s">
        <v>62</v>
      </c>
      <c r="C18" s="33" t="s">
        <v>63</v>
      </c>
      <c r="D18" s="33" t="s">
        <v>64</v>
      </c>
      <c r="E18" s="33" t="s">
        <v>65</v>
      </c>
      <c r="F18" s="33" t="s">
        <v>66</v>
      </c>
      <c r="G18" s="34" t="s">
        <v>69</v>
      </c>
      <c r="H18" s="33" t="s">
        <v>67</v>
      </c>
      <c r="I18" s="33" t="s">
        <v>68</v>
      </c>
      <c r="J18" s="33" t="s">
        <v>70</v>
      </c>
      <c r="K18" s="6"/>
    </row>
    <row r="19" spans="1:11" hidden="1" x14ac:dyDescent="0.35">
      <c r="A19" s="6">
        <f>(J4/2)*G15^2*COS(B15)^2</f>
        <v>5.6863051743208599E-6</v>
      </c>
      <c r="B19" s="27">
        <f>SIN(2*B15)</f>
        <v>-0.69886760465988729</v>
      </c>
      <c r="C19" s="36">
        <f>B19*COS(B15)^2</f>
        <v>-0.59936669797166919</v>
      </c>
      <c r="D19" s="27">
        <f>B15+(B19/2)</f>
        <v>-0.73634033016677103</v>
      </c>
      <c r="E19" s="27">
        <f>(3*D19+C19)/4</f>
        <v>-0.70209692211799557</v>
      </c>
      <c r="F19" s="27">
        <f>(5*E19+C19*COS(B15)^2)/3</f>
        <v>-1.3415055969981926</v>
      </c>
      <c r="G19" s="27">
        <f>(3/4)*J4</f>
        <v>5.0546226149520467E-3</v>
      </c>
      <c r="H19" s="6">
        <f>(5/3)*G19^2</f>
        <v>4.2582016299307776E-5</v>
      </c>
      <c r="I19" s="6">
        <f>(35/27)*G19^3</f>
        <v>1.674057953374627E-7</v>
      </c>
      <c r="J19" s="35">
        <f>0.9996*L4*(B15-G19*D19+H19*E19-I19*F19)</f>
        <v>-2451434.6812862107</v>
      </c>
      <c r="K19" s="6"/>
    </row>
    <row r="20" spans="1:11" ht="15" thickBot="1" x14ac:dyDescent="0.4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35">
      <c r="A21" s="6"/>
      <c r="B21" s="114" t="s">
        <v>28</v>
      </c>
      <c r="C21" s="115"/>
      <c r="D21" s="115"/>
      <c r="E21" s="116"/>
      <c r="F21" s="6"/>
      <c r="G21" s="6"/>
      <c r="H21" s="6"/>
      <c r="I21" s="6"/>
      <c r="J21" s="6"/>
      <c r="K21" s="6"/>
    </row>
    <row r="22" spans="1:11" ht="15" thickBot="1" x14ac:dyDescent="0.4">
      <c r="A22" s="35"/>
      <c r="B22" s="117"/>
      <c r="C22" s="118"/>
      <c r="D22" s="118"/>
      <c r="E22" s="119"/>
      <c r="F22" s="6"/>
      <c r="G22" s="6"/>
      <c r="H22" s="6"/>
      <c r="I22" s="6"/>
      <c r="J22" s="6"/>
      <c r="K22" s="6"/>
    </row>
    <row r="23" spans="1:11" ht="29.25" customHeight="1" x14ac:dyDescent="0.35">
      <c r="A23" s="6"/>
      <c r="B23" s="37" t="s">
        <v>29</v>
      </c>
      <c r="C23" s="120">
        <f>G15*I15*(1+(A19/3))+500000</f>
        <v>782940.73115497129</v>
      </c>
      <c r="D23" s="121"/>
      <c r="E23" s="6"/>
      <c r="F23" s="6"/>
      <c r="G23" s="6"/>
      <c r="H23" s="6"/>
      <c r="I23" s="6"/>
      <c r="J23" s="6"/>
      <c r="K23" s="6"/>
    </row>
    <row r="24" spans="1:11" ht="26.25" customHeight="1" thickBot="1" x14ac:dyDescent="0.4">
      <c r="A24" s="6"/>
      <c r="B24" s="38" t="s">
        <v>30</v>
      </c>
      <c r="C24" s="122">
        <f>H15*I15*(1+A19)+J19+10000000</f>
        <v>7546007.8606261462</v>
      </c>
      <c r="D24" s="123"/>
      <c r="E24" s="6"/>
      <c r="F24" s="6"/>
      <c r="G24" s="6"/>
      <c r="H24" s="6"/>
      <c r="I24" s="6"/>
      <c r="J24" s="6"/>
      <c r="K24" s="6"/>
    </row>
    <row r="25" spans="1:11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</sheetData>
  <mergeCells count="10">
    <mergeCell ref="A7:G8"/>
    <mergeCell ref="B12:D12"/>
    <mergeCell ref="B21:E22"/>
    <mergeCell ref="C23:D23"/>
    <mergeCell ref="C24:D24"/>
    <mergeCell ref="A2:C4"/>
    <mergeCell ref="H3:I3"/>
    <mergeCell ref="J3:K3"/>
    <mergeCell ref="H4:I4"/>
    <mergeCell ref="J4:K4"/>
  </mergeCells>
  <dataValidations count="2">
    <dataValidation type="list" allowBlank="1" showInputMessage="1" showErrorMessage="1" sqref="E11" xr:uid="{00000000-0002-0000-0100-000000000000}">
      <formula1>"E,O"</formula1>
    </dataValidation>
    <dataValidation type="list" allowBlank="1" showInputMessage="1" showErrorMessage="1" sqref="E10" xr:uid="{00000000-0002-0000-0100-000001000000}">
      <formula1>"S,N"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3:F16"/>
  <sheetViews>
    <sheetView workbookViewId="0">
      <selection activeCell="C21" sqref="C21"/>
    </sheetView>
  </sheetViews>
  <sheetFormatPr defaultColWidth="10.90625" defaultRowHeight="14.5" x14ac:dyDescent="0.35"/>
  <cols>
    <col min="1" max="1" width="14.7265625" customWidth="1"/>
    <col min="2" max="2" width="6.26953125" customWidth="1"/>
    <col min="3" max="3" width="18.453125" customWidth="1"/>
    <col min="4" max="4" width="21.7265625" customWidth="1"/>
    <col min="5" max="5" width="18" customWidth="1"/>
  </cols>
  <sheetData>
    <row r="3" spans="1:6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6" x14ac:dyDescent="0.35">
      <c r="A4" t="s">
        <v>44</v>
      </c>
      <c r="B4">
        <v>1830</v>
      </c>
      <c r="C4" s="1">
        <v>6377276.2999999998</v>
      </c>
      <c r="D4" s="1">
        <v>6356075.4000000004</v>
      </c>
      <c r="E4" s="2">
        <v>300.8</v>
      </c>
      <c r="F4">
        <v>1</v>
      </c>
    </row>
    <row r="5" spans="1:6" x14ac:dyDescent="0.35">
      <c r="A5" t="s">
        <v>5</v>
      </c>
      <c r="B5">
        <v>1841</v>
      </c>
      <c r="C5" s="1">
        <v>6377397.1150000002</v>
      </c>
      <c r="D5" s="1">
        <v>6356078.9630000005</v>
      </c>
      <c r="E5" s="2">
        <v>299.15280000000001</v>
      </c>
      <c r="F5">
        <v>2</v>
      </c>
    </row>
    <row r="6" spans="1:6" x14ac:dyDescent="0.35">
      <c r="A6" t="s">
        <v>6</v>
      </c>
      <c r="B6">
        <v>1849</v>
      </c>
      <c r="C6" s="1">
        <v>6377563.4000000004</v>
      </c>
      <c r="D6" s="1">
        <v>6356256.9000000004</v>
      </c>
      <c r="E6" s="2">
        <v>299.32</v>
      </c>
      <c r="F6">
        <v>3</v>
      </c>
    </row>
    <row r="7" spans="1:6" x14ac:dyDescent="0.35">
      <c r="A7" t="s">
        <v>45</v>
      </c>
      <c r="B7">
        <v>1866</v>
      </c>
      <c r="C7" s="1">
        <v>6378206.4000000004</v>
      </c>
      <c r="D7" s="1">
        <v>6356583.7999999998</v>
      </c>
      <c r="E7" s="2">
        <v>294.9787</v>
      </c>
      <c r="F7">
        <v>4</v>
      </c>
    </row>
    <row r="8" spans="1:6" x14ac:dyDescent="0.35">
      <c r="A8" t="s">
        <v>46</v>
      </c>
      <c r="B8">
        <v>1880</v>
      </c>
      <c r="C8" s="1">
        <v>6378249.1449999996</v>
      </c>
      <c r="D8" s="1">
        <v>6356514.8700000001</v>
      </c>
      <c r="E8" s="2">
        <v>293.46499999999997</v>
      </c>
      <c r="F8">
        <v>5</v>
      </c>
    </row>
    <row r="9" spans="1:6" x14ac:dyDescent="0.35">
      <c r="A9" t="s">
        <v>7</v>
      </c>
      <c r="B9">
        <v>1909</v>
      </c>
      <c r="C9" s="1">
        <v>6378388</v>
      </c>
      <c r="D9" s="1">
        <v>6356911.9460000005</v>
      </c>
      <c r="E9" s="2">
        <v>297</v>
      </c>
      <c r="F9">
        <v>6</v>
      </c>
    </row>
    <row r="10" spans="1:6" x14ac:dyDescent="0.35">
      <c r="A10" t="s">
        <v>8</v>
      </c>
      <c r="B10">
        <v>1924</v>
      </c>
      <c r="C10" s="1">
        <v>6378388</v>
      </c>
      <c r="D10" s="1">
        <v>6356911.9460000005</v>
      </c>
      <c r="E10" s="2">
        <v>297</v>
      </c>
      <c r="F10">
        <v>7</v>
      </c>
    </row>
    <row r="11" spans="1:6" x14ac:dyDescent="0.35">
      <c r="A11" t="s">
        <v>9</v>
      </c>
      <c r="B11">
        <v>1940</v>
      </c>
      <c r="C11" s="1">
        <v>6378245</v>
      </c>
      <c r="D11" s="1">
        <v>6356863</v>
      </c>
      <c r="E11" s="2">
        <v>298.3</v>
      </c>
      <c r="F11">
        <v>8</v>
      </c>
    </row>
    <row r="12" spans="1:6" x14ac:dyDescent="0.35">
      <c r="A12" t="s">
        <v>47</v>
      </c>
      <c r="B12">
        <v>1956</v>
      </c>
      <c r="C12" s="1">
        <v>6377301.2429999998</v>
      </c>
      <c r="D12" s="1">
        <v>6356100.2280000001</v>
      </c>
      <c r="E12" s="2">
        <v>300.80200000000002</v>
      </c>
      <c r="F12">
        <v>9</v>
      </c>
    </row>
    <row r="13" spans="1:6" x14ac:dyDescent="0.35">
      <c r="A13" t="s">
        <v>10</v>
      </c>
      <c r="B13">
        <v>1965</v>
      </c>
      <c r="C13" s="1">
        <v>6378160</v>
      </c>
      <c r="D13" s="1">
        <v>6356774.7189999996</v>
      </c>
      <c r="E13" s="2">
        <v>298.25</v>
      </c>
      <c r="F13">
        <v>10</v>
      </c>
    </row>
    <row r="14" spans="1:6" x14ac:dyDescent="0.35">
      <c r="A14" t="s">
        <v>11</v>
      </c>
      <c r="B14">
        <v>1968</v>
      </c>
      <c r="C14" s="1">
        <v>6378150</v>
      </c>
      <c r="D14" s="1">
        <v>6356768.3370000003</v>
      </c>
      <c r="E14" s="2">
        <v>298.3</v>
      </c>
      <c r="F14">
        <v>11</v>
      </c>
    </row>
    <row r="15" spans="1:6" x14ac:dyDescent="0.35">
      <c r="A15" t="s">
        <v>12</v>
      </c>
      <c r="B15">
        <v>1972</v>
      </c>
      <c r="C15" s="1">
        <v>6378135</v>
      </c>
      <c r="D15" s="1">
        <v>6356750.5199999996</v>
      </c>
      <c r="E15" s="2">
        <v>298.26</v>
      </c>
      <c r="F15">
        <v>12</v>
      </c>
    </row>
    <row r="16" spans="1:6" x14ac:dyDescent="0.35">
      <c r="A16" t="s">
        <v>13</v>
      </c>
      <c r="B16">
        <v>1984</v>
      </c>
      <c r="C16" s="1">
        <v>6378137</v>
      </c>
      <c r="D16" s="1">
        <v>6356752.3140000002</v>
      </c>
      <c r="E16" s="2">
        <v>298.25700000000001</v>
      </c>
      <c r="F1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GEODESICAS-CARTESIANAS</vt:lpstr>
      <vt:lpstr>UTM-GEODESICAS</vt:lpstr>
      <vt:lpstr>ELIPSOIDES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Blog de Ingeniería</dc:creator>
  <cp:lastModifiedBy>Cristopher Colome Aguirre</cp:lastModifiedBy>
  <dcterms:created xsi:type="dcterms:W3CDTF">2019-06-27T04:10:15Z</dcterms:created>
  <dcterms:modified xsi:type="dcterms:W3CDTF">2022-10-06T16:27:16Z</dcterms:modified>
</cp:coreProperties>
</file>