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hidePivotFieldList="1" autoCompressPictures="0"/>
  <bookViews>
    <workbookView xWindow="18300" yWindow="4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F16" i="1"/>
  <c r="D17" i="1"/>
  <c r="F17" i="1"/>
  <c r="D18" i="1"/>
  <c r="F18" i="1"/>
  <c r="D19" i="1"/>
  <c r="E19" i="1"/>
  <c r="F19" i="1"/>
  <c r="B2" i="1"/>
  <c r="C20" i="1"/>
  <c r="F20" i="1"/>
  <c r="C15" i="1"/>
  <c r="C14" i="1"/>
  <c r="C5" i="1"/>
  <c r="C6" i="1"/>
  <c r="C7" i="1"/>
  <c r="C8" i="1"/>
  <c r="C9" i="1"/>
  <c r="C10" i="1"/>
  <c r="C11" i="1"/>
  <c r="C12" i="1"/>
  <c r="C13" i="1"/>
  <c r="C16" i="1"/>
  <c r="C17" i="1"/>
  <c r="C18" i="1"/>
  <c r="C19" i="1"/>
</calcChain>
</file>

<file path=xl/sharedStrings.xml><?xml version="1.0" encoding="utf-8"?>
<sst xmlns="http://schemas.openxmlformats.org/spreadsheetml/2006/main" count="40" uniqueCount="40">
  <si>
    <t>Item</t>
  </si>
  <si>
    <t>Link</t>
  </si>
  <si>
    <t>Cost</t>
  </si>
  <si>
    <t>Quantity</t>
  </si>
  <si>
    <t>Subtotal</t>
  </si>
  <si>
    <t>Adafruit HUZZAH</t>
  </si>
  <si>
    <t>PowerBoost 500 C</t>
  </si>
  <si>
    <t>Number of Badges</t>
  </si>
  <si>
    <t>OLED Display</t>
  </si>
  <si>
    <t>LIPO</t>
  </si>
  <si>
    <t>Right Angle Header</t>
  </si>
  <si>
    <t>Switch</t>
  </si>
  <si>
    <t>0.125" Acrylic</t>
  </si>
  <si>
    <t>http://www.eplastics.com/PLEXIGLASS-ACRYCLR0-125PM24X48</t>
  </si>
  <si>
    <t>Vendor</t>
  </si>
  <si>
    <t>Corner Standoffs</t>
  </si>
  <si>
    <t>http://www.mcmaster.com/#91780A104</t>
  </si>
  <si>
    <t>http://www.mcmaster.com/#91249A050</t>
  </si>
  <si>
    <t>2-56 1/4" Screws</t>
  </si>
  <si>
    <t>Foam Tape</t>
  </si>
  <si>
    <t>Jumper</t>
  </si>
  <si>
    <t>https://www.adafruit.com/products/794</t>
  </si>
  <si>
    <t>http://www.mcmaster.com/#76535A22</t>
  </si>
  <si>
    <t>RGB LED</t>
  </si>
  <si>
    <t>LED VREG Diode</t>
  </si>
  <si>
    <t>3.3V FTDI Cable</t>
  </si>
  <si>
    <t>http://www.adafruit.com/products/70</t>
  </si>
  <si>
    <t>https://www.adafruit.com/products/1426</t>
  </si>
  <si>
    <t>https://www.adafruit.com/products/805</t>
  </si>
  <si>
    <t>https://www.adafruit.com/products/1540</t>
  </si>
  <si>
    <t>https://www.adafruit.com/products/328</t>
  </si>
  <si>
    <t>https://www.adafruit.com/products/931</t>
  </si>
  <si>
    <t>https://www.adafruit.com/products/1944</t>
  </si>
  <si>
    <t>https://www.adafruit.com/products/2471</t>
  </si>
  <si>
    <t>Micro USB Cable</t>
  </si>
  <si>
    <t>https://www.monoprice.com/product?p_id=9761</t>
  </si>
  <si>
    <t>USB Charger</t>
  </si>
  <si>
    <t>https://www.monoprice.com/product?p_id=10273</t>
  </si>
  <si>
    <t>http://www.mouser.com/search/ProductDetail.aspx?R=0virtualkey0virtualkeyFM4001-W</t>
  </si>
  <si>
    <t>Cost per Badge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</si>
</sst>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12" fontId="0" fillId="0" borderId="0" xfId="1" applyNumberFormat="1" applyFont="1"/>
    <xf numFmtId="0" fontId="5" fillId="0" borderId="0" xfId="0" applyFont="1"/>
    <xf numFmtId="44" fontId="1" fillId="0" borderId="0" xfId="1" applyFont="1"/>
  </cellXfs>
  <cellStyles count="51">
    <cellStyle name="Currency" xfId="1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2" builtinId="8" hidden="1"/>
    <cellStyle name="Hyperlink" xfId="9" builtinId="8" hidden="1"/>
    <cellStyle name="Hyperlink" xfId="1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2"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:F20" totalsRowShown="0">
  <autoFilter ref="A4:F20"/>
  <tableColumns count="6">
    <tableColumn id="1" name="Item"/>
    <tableColumn id="2" name="Link"/>
    <tableColumn id="3" name="Vendor"/>
    <tableColumn id="4" name="Quantity"/>
    <tableColumn id="5" name="Cost" dataDxfId="1" dataCellStyle="Currency"/>
    <tableColumn id="6" name="Subtotal" dataDxfId="0">
      <calculatedColumnFormula>D5*E5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E32" sqref="E32"/>
    </sheetView>
  </sheetViews>
  <sheetFormatPr baseColWidth="10" defaultRowHeight="15" x14ac:dyDescent="0"/>
  <cols>
    <col min="1" max="1" width="28.1640625" bestFit="1" customWidth="1"/>
    <col min="2" max="2" width="36.1640625" customWidth="1"/>
    <col min="3" max="3" width="9.6640625" customWidth="1"/>
    <col min="5" max="5" width="13.5" style="1" bestFit="1" customWidth="1"/>
  </cols>
  <sheetData>
    <row r="1" spans="1:6" ht="23">
      <c r="A1" s="4" t="s">
        <v>7</v>
      </c>
      <c r="B1" s="4">
        <v>1</v>
      </c>
    </row>
    <row r="2" spans="1:6" ht="23">
      <c r="A2" s="4" t="s">
        <v>39</v>
      </c>
      <c r="B2" s="4">
        <f>SUM(Table1[Subtotal])/B1</f>
        <v>182.49</v>
      </c>
    </row>
    <row r="4" spans="1:6">
      <c r="A4" t="s">
        <v>0</v>
      </c>
      <c r="B4" t="s">
        <v>1</v>
      </c>
      <c r="C4" t="s">
        <v>14</v>
      </c>
      <c r="D4" t="s">
        <v>3</v>
      </c>
      <c r="E4" s="1" t="s">
        <v>2</v>
      </c>
      <c r="F4" t="s">
        <v>4</v>
      </c>
    </row>
    <row r="5" spans="1:6">
      <c r="A5" t="s">
        <v>5</v>
      </c>
      <c r="B5" t="s">
        <v>33</v>
      </c>
      <c r="C5" t="str">
        <f>MID(B5, FIND(".", B5)+1, FIND(".", B5, FIND(".", B5)+1)-FIND(".", B5)-1)</f>
        <v>adafruit</v>
      </c>
      <c r="D5">
        <f>B1</f>
        <v>1</v>
      </c>
      <c r="E5" s="1">
        <f>IF(D5 &lt; 10, 9.95, IF(D5 &lt; 100, 8.96, 7.96))</f>
        <v>9.9499999999999993</v>
      </c>
      <c r="F5" s="2">
        <f>D5*E5</f>
        <v>9.9499999999999993</v>
      </c>
    </row>
    <row r="6" spans="1:6">
      <c r="A6" t="s">
        <v>6</v>
      </c>
      <c r="B6" t="s">
        <v>32</v>
      </c>
      <c r="C6" t="str">
        <f t="shared" ref="C6" si="0">MID(B6, FIND(".", B6)+1, FIND(".", B6, FIND(".", B6)+1)-FIND(".", B6)-1)</f>
        <v>adafruit</v>
      </c>
      <c r="D6">
        <f>B1</f>
        <v>1</v>
      </c>
      <c r="E6" s="1">
        <f>IF(D6&lt;10,14.95,IF(D6&lt;100,13.46,11.96))</f>
        <v>14.95</v>
      </c>
      <c r="F6" s="2">
        <f t="shared" ref="F6" si="1">D6*E6</f>
        <v>14.95</v>
      </c>
    </row>
    <row r="7" spans="1:6">
      <c r="A7" t="s">
        <v>8</v>
      </c>
      <c r="B7" t="s">
        <v>31</v>
      </c>
      <c r="C7" t="str">
        <f t="shared" ref="C7:C20" si="2">MID(B7, FIND(".", B7)+1, FIND(".", B7, FIND(".", B7)+1)-FIND(".", B7)-1)</f>
        <v>adafruit</v>
      </c>
      <c r="D7">
        <f>B1</f>
        <v>1</v>
      </c>
      <c r="E7" s="1">
        <f>IF(D7&lt;10,17.5,IF(D7&lt;100,15.75,14))</f>
        <v>17.5</v>
      </c>
      <c r="F7" s="2">
        <f t="shared" ref="F7:F19" si="3">D7*E7</f>
        <v>17.5</v>
      </c>
    </row>
    <row r="8" spans="1:6">
      <c r="A8" t="s">
        <v>9</v>
      </c>
      <c r="B8" t="s">
        <v>30</v>
      </c>
      <c r="C8" t="str">
        <f t="shared" si="2"/>
        <v>adafruit</v>
      </c>
      <c r="D8">
        <f>B1</f>
        <v>1</v>
      </c>
      <c r="E8" s="1">
        <f>IF(D8 &lt; 10, 14.95, IF(D8 &lt; 100, 13.46, 11.96))</f>
        <v>14.95</v>
      </c>
      <c r="F8" s="2">
        <f t="shared" si="3"/>
        <v>14.95</v>
      </c>
    </row>
    <row r="9" spans="1:6">
      <c r="A9" t="s">
        <v>10</v>
      </c>
      <c r="B9" t="s">
        <v>29</v>
      </c>
      <c r="C9" t="str">
        <f t="shared" si="2"/>
        <v>adafruit</v>
      </c>
      <c r="D9">
        <f>CEILING(B1/7, 1)</f>
        <v>1</v>
      </c>
      <c r="E9" s="1">
        <f>IF(D9&lt;10, 5.95, 5.36)</f>
        <v>5.95</v>
      </c>
      <c r="F9" s="2">
        <f t="shared" si="3"/>
        <v>5.95</v>
      </c>
    </row>
    <row r="10" spans="1:6">
      <c r="A10" t="s">
        <v>11</v>
      </c>
      <c r="B10" t="s">
        <v>28</v>
      </c>
      <c r="C10" t="str">
        <f t="shared" si="2"/>
        <v>adafruit</v>
      </c>
      <c r="D10">
        <f>B1</f>
        <v>1</v>
      </c>
      <c r="E10" s="1">
        <f>IF(D10&lt;10,0.95,IF(D10&lt;100,0.86,0.76))</f>
        <v>0.95</v>
      </c>
      <c r="F10" s="2">
        <f t="shared" si="3"/>
        <v>0.95</v>
      </c>
    </row>
    <row r="11" spans="1:6">
      <c r="A11" t="s">
        <v>20</v>
      </c>
      <c r="B11" t="s">
        <v>21</v>
      </c>
      <c r="C11" t="str">
        <f t="shared" si="2"/>
        <v>adafruit</v>
      </c>
      <c r="D11">
        <f>CEILING((B1*12)/40, 1)</f>
        <v>1</v>
      </c>
      <c r="E11" s="1">
        <f>IF(D11&lt;10, 3.95, IF(D11&lt;100, 3.56, 3.16))</f>
        <v>3.95</v>
      </c>
      <c r="F11" s="2">
        <f t="shared" si="3"/>
        <v>3.95</v>
      </c>
    </row>
    <row r="12" spans="1:6">
      <c r="A12" t="s">
        <v>23</v>
      </c>
      <c r="B12" t="s">
        <v>27</v>
      </c>
      <c r="C12" t="str">
        <f t="shared" si="2"/>
        <v>adafruit</v>
      </c>
      <c r="D12">
        <f>B1</f>
        <v>1</v>
      </c>
      <c r="E12" s="1">
        <f>IF(D12&lt;10, 5.95, IF(D12&lt;100, 5.36, 4.76))</f>
        <v>5.95</v>
      </c>
      <c r="F12" s="2">
        <f t="shared" si="3"/>
        <v>5.95</v>
      </c>
    </row>
    <row r="13" spans="1:6">
      <c r="A13" t="s">
        <v>24</v>
      </c>
      <c r="B13" t="s">
        <v>38</v>
      </c>
      <c r="C13" t="str">
        <f t="shared" si="2"/>
        <v>mouser</v>
      </c>
      <c r="D13">
        <f>CEILING(B1/10, 1)+1</f>
        <v>2</v>
      </c>
      <c r="E13" s="1">
        <f>IF(D13&lt;100, 0.23, IF(D13&lt;500, 0.159, IF(D13&lt;1000, 0.139, 0.131)))</f>
        <v>0.23</v>
      </c>
      <c r="F13" s="2">
        <f t="shared" si="3"/>
        <v>0.46</v>
      </c>
    </row>
    <row r="14" spans="1:6">
      <c r="A14" t="s">
        <v>34</v>
      </c>
      <c r="B14" t="s">
        <v>35</v>
      </c>
      <c r="C14" t="str">
        <f>MID(B14, FIND(".", B14)+1, FIND(".", B14, FIND(".", B14)+1)-FIND(".", B14)-1)</f>
        <v>monoprice</v>
      </c>
      <c r="D14">
        <f>B1</f>
        <v>1</v>
      </c>
      <c r="E14" s="5">
        <f>IF(D14&lt;4, 2.78, IF(D14&lt;10, 2.67, IF(D14&lt;20, 2.55, IF(D14&lt;50, 2.45, 2.34))))</f>
        <v>2.78</v>
      </c>
      <c r="F14" s="2">
        <f>D14*E14</f>
        <v>2.78</v>
      </c>
    </row>
    <row r="15" spans="1:6">
      <c r="A15" t="s">
        <v>36</v>
      </c>
      <c r="B15" t="s">
        <v>37</v>
      </c>
      <c r="C15" t="str">
        <f>MID(B15, FIND(".", B15)+1, FIND(".", B15, FIND(".", B15)+1)-FIND(".", B15)-1)</f>
        <v>monoprice</v>
      </c>
      <c r="D15">
        <f>B1</f>
        <v>1</v>
      </c>
      <c r="E15" s="5">
        <f>IF(D15&lt;4, 5.73, IF(D15&lt;10, 5.47, IF(D15&lt;20, 5.22, IF(D15&lt;50, 4.97, 4.71))))</f>
        <v>5.73</v>
      </c>
      <c r="F15" s="2">
        <f>D15*E15</f>
        <v>5.73</v>
      </c>
    </row>
    <row r="16" spans="1:6">
      <c r="A16" t="s">
        <v>18</v>
      </c>
      <c r="B16" t="s">
        <v>17</v>
      </c>
      <c r="C16" t="str">
        <f t="shared" si="2"/>
        <v>mcmaster</v>
      </c>
      <c r="D16">
        <f>CEILING((B1*20)/100, 1)+1</f>
        <v>2</v>
      </c>
      <c r="E16" s="1">
        <v>3.64</v>
      </c>
      <c r="F16" s="2">
        <f t="shared" si="3"/>
        <v>7.28</v>
      </c>
    </row>
    <row r="17" spans="1:6">
      <c r="A17" t="s">
        <v>15</v>
      </c>
      <c r="B17" t="s">
        <v>16</v>
      </c>
      <c r="C17" t="str">
        <f t="shared" si="2"/>
        <v>mcmaster</v>
      </c>
      <c r="D17">
        <f>B1*4</f>
        <v>4</v>
      </c>
      <c r="E17" s="1">
        <v>0.42</v>
      </c>
      <c r="F17" s="2">
        <f t="shared" si="3"/>
        <v>1.68</v>
      </c>
    </row>
    <row r="18" spans="1:6">
      <c r="A18" t="s">
        <v>19</v>
      </c>
      <c r="B18" t="s">
        <v>22</v>
      </c>
      <c r="C18" t="str">
        <f t="shared" si="2"/>
        <v>mcmaster</v>
      </c>
      <c r="D18">
        <f>CEILING((B1*5)/250, 1)</f>
        <v>1</v>
      </c>
      <c r="E18" s="1">
        <v>9.4</v>
      </c>
      <c r="F18" s="2">
        <f t="shared" si="3"/>
        <v>9.4</v>
      </c>
    </row>
    <row r="19" spans="1:6">
      <c r="A19" t="s">
        <v>12</v>
      </c>
      <c r="B19" t="s">
        <v>13</v>
      </c>
      <c r="C19" t="str">
        <f t="shared" si="2"/>
        <v>eplastics</v>
      </c>
      <c r="D19">
        <f>CEILING(B1/23, 1)+1</f>
        <v>2</v>
      </c>
      <c r="E19" s="1">
        <f>IF(D19&lt;3, 31.53, IF(D19&lt;10, 28.27, 24.4))</f>
        <v>31.53</v>
      </c>
      <c r="F19" s="2">
        <f t="shared" si="3"/>
        <v>63.06</v>
      </c>
    </row>
    <row r="20" spans="1:6">
      <c r="A20" t="s">
        <v>25</v>
      </c>
      <c r="B20" t="s">
        <v>26</v>
      </c>
      <c r="C20" t="str">
        <f t="shared" si="2"/>
        <v>adafruit</v>
      </c>
      <c r="D20">
        <v>1</v>
      </c>
      <c r="E20" s="1">
        <v>17.95</v>
      </c>
      <c r="F20" s="2">
        <f>D20*E20</f>
        <v>17.95</v>
      </c>
    </row>
    <row r="23" spans="1:6">
      <c r="E23" s="3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JHU APL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J. Taylor</dc:creator>
  <cp:lastModifiedBy>Colin J. Taylor</cp:lastModifiedBy>
  <dcterms:created xsi:type="dcterms:W3CDTF">2015-12-01T17:23:23Z</dcterms:created>
  <dcterms:modified xsi:type="dcterms:W3CDTF">2016-04-01T18:54:07Z</dcterms:modified>
</cp:coreProperties>
</file>