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avas/Documents/git/openag-mechanical/prj/hazelnut_large/LHC-001/1-Documentation/"/>
    </mc:Choice>
  </mc:AlternateContent>
  <xr:revisionPtr revIDLastSave="0" documentId="13_ncr:1_{145E0823-A918-544D-9C8B-E0C989081402}" xr6:coauthVersionLast="36" xr6:coauthVersionMax="36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L23" i="1" l="1"/>
  <c r="L16" i="1"/>
  <c r="E27" i="1" l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7" i="1"/>
  <c r="E6" i="1"/>
  <c r="E5" i="1"/>
  <c r="E4" i="1"/>
  <c r="E3" i="1"/>
  <c r="E2" i="1"/>
  <c r="F29" i="1"/>
  <c r="O29" i="1" s="1"/>
  <c r="F23" i="1" l="1"/>
  <c r="O23" i="1" s="1"/>
  <c r="N30" i="1" l="1"/>
  <c r="F27" i="1"/>
  <c r="F26" i="1"/>
  <c r="F25" i="1"/>
  <c r="O25" i="1" s="1"/>
  <c r="L24" i="1"/>
  <c r="F24" i="1"/>
  <c r="O24" i="1" s="1"/>
  <c r="L20" i="1"/>
  <c r="F20" i="1"/>
  <c r="O20" i="1" s="1"/>
  <c r="F19" i="1"/>
  <c r="O19" i="1" s="1"/>
  <c r="L18" i="1"/>
  <c r="F18" i="1"/>
  <c r="O18" i="1" s="1"/>
  <c r="L17" i="1"/>
  <c r="F17" i="1"/>
  <c r="O17" i="1" s="1"/>
  <c r="F16" i="1"/>
  <c r="O16" i="1" s="1"/>
  <c r="L15" i="1"/>
  <c r="F15" i="1"/>
  <c r="O15" i="1" s="1"/>
  <c r="L14" i="1"/>
  <c r="F14" i="1"/>
  <c r="O14" i="1" s="1"/>
  <c r="L13" i="1"/>
  <c r="F13" i="1"/>
  <c r="O13" i="1" s="1"/>
  <c r="L12" i="1"/>
  <c r="F12" i="1"/>
  <c r="O12" i="1" s="1"/>
  <c r="L11" i="1"/>
  <c r="F11" i="1"/>
  <c r="O11" i="1" s="1"/>
  <c r="L10" i="1"/>
  <c r="F10" i="1"/>
  <c r="O10" i="1" s="1"/>
  <c r="L9" i="1"/>
  <c r="F9" i="1"/>
  <c r="O9" i="1" s="1"/>
  <c r="L8" i="1"/>
  <c r="D8" i="1"/>
  <c r="L7" i="1"/>
  <c r="F7" i="1"/>
  <c r="O7" i="1" s="1"/>
  <c r="L6" i="1"/>
  <c r="F6" i="1"/>
  <c r="O6" i="1" s="1"/>
  <c r="L5" i="1"/>
  <c r="F5" i="1"/>
  <c r="O5" i="1" s="1"/>
  <c r="V4" i="1"/>
  <c r="F4" i="1"/>
  <c r="O4" i="1" s="1"/>
  <c r="V3" i="1"/>
  <c r="L3" i="1"/>
  <c r="F3" i="1"/>
  <c r="O3" i="1" s="1"/>
  <c r="V2" i="1"/>
  <c r="L2" i="1"/>
  <c r="F2" i="1"/>
  <c r="O2" i="1" s="1"/>
  <c r="F8" i="1" l="1"/>
  <c r="O8" i="1" s="1"/>
  <c r="O30" i="1" s="1"/>
  <c r="E8" i="1"/>
</calcChain>
</file>

<file path=xl/sharedStrings.xml><?xml version="1.0" encoding="utf-8"?>
<sst xmlns="http://schemas.openxmlformats.org/spreadsheetml/2006/main" count="218" uniqueCount="107">
  <si>
    <t>Description</t>
  </si>
  <si>
    <t>Type</t>
  </si>
  <si>
    <t>Status</t>
  </si>
  <si>
    <t>Quantity for 1 Assembly</t>
  </si>
  <si>
    <t>Quantity for 50 Assemblies</t>
  </si>
  <si>
    <t>Quantity @ Bates</t>
  </si>
  <si>
    <t>Quantity to Purchase</t>
  </si>
  <si>
    <t>Github File</t>
  </si>
  <si>
    <t>Manufacturer</t>
  </si>
  <si>
    <t>Manufacturer Part #</t>
  </si>
  <si>
    <t>Vendor 01</t>
  </si>
  <si>
    <t>Vendor 01 Part #</t>
  </si>
  <si>
    <t>Vendor 01 Cost</t>
  </si>
  <si>
    <t>Cost for 50</t>
  </si>
  <si>
    <t>Vendor 01 Ready to Ship</t>
  </si>
  <si>
    <t>Vendor 01 Lead Time (weeks)</t>
  </si>
  <si>
    <t>Vendor 02</t>
  </si>
  <si>
    <t>Vendor 02 Cost</t>
  </si>
  <si>
    <t>Vendor 02 Ready to Ship</t>
  </si>
  <si>
    <t>Lead Time (weeks)</t>
  </si>
  <si>
    <t>Vendor 02 Lead Time (weeks)</t>
  </si>
  <si>
    <t>Khatod 1825 silicone optic</t>
  </si>
  <si>
    <t>Stock Part</t>
  </si>
  <si>
    <t>Validated</t>
  </si>
  <si>
    <t>1621-1007-ND_KHATOD OPTIC 1825</t>
  </si>
  <si>
    <t>Khatod</t>
  </si>
  <si>
    <t>PL1825SR</t>
  </si>
  <si>
    <t>1621-1007-ND</t>
  </si>
  <si>
    <t>pending response</t>
  </si>
  <si>
    <t>12" heat sink</t>
  </si>
  <si>
    <t>416201U00000G-ND_12IN HEATSINK</t>
  </si>
  <si>
    <t>Aavid</t>
  </si>
  <si>
    <t xml:space="preserve">416201U00000G	</t>
  </si>
  <si>
    <t xml:space="preserve">416201U00000G-ND	</t>
  </si>
  <si>
    <t>COB Driver</t>
  </si>
  <si>
    <t>In Design</t>
  </si>
  <si>
    <t>1800-1101-ND_ERP DRIVER</t>
  </si>
  <si>
    <t>ERP</t>
  </si>
  <si>
    <t xml:space="preserve">SLM160W-3.9-40-ZA	</t>
  </si>
  <si>
    <t>Vero SE 5000K COB LED</t>
  </si>
  <si>
    <t>976-1596-ND_BRIDGELUX VERO29</t>
  </si>
  <si>
    <t>Bridgelux</t>
  </si>
  <si>
    <t xml:space="preserve">BXRC-50C10K1-D-74-SE	</t>
  </si>
  <si>
    <t>976-1596-ND</t>
  </si>
  <si>
    <t>Vero SE 3000K COB LED</t>
  </si>
  <si>
    <t xml:space="preserve">BXRC-30E10K0-D-73-SE	</t>
  </si>
  <si>
    <t xml:space="preserve">976-1590-ND	</t>
  </si>
  <si>
    <t>1" x 3' x 1/16" 40A neoprene rubber strip (side gasket)</t>
  </si>
  <si>
    <t>Stock Material</t>
  </si>
  <si>
    <t>lhc-320</t>
  </si>
  <si>
    <t>not listed</t>
  </si>
  <si>
    <t>1376N13</t>
  </si>
  <si>
    <t>not listed, ready</t>
  </si>
  <si>
    <t>.09" x 48" x 48" aluminum plate (mounting plate)</t>
  </si>
  <si>
    <t>In Testing</t>
  </si>
  <si>
    <t>lhc-319</t>
  </si>
  <si>
    <t>89015K59</t>
  </si>
  <si>
    <t>lhc-321</t>
  </si>
  <si>
    <t>8505K753</t>
  </si>
  <si>
    <t>4-40 x 1/8" screw (box of 100)</t>
  </si>
  <si>
    <t>91773A103</t>
  </si>
  <si>
    <t>6-32 x 7/8" bolt (box of 100)</t>
  </si>
  <si>
    <t>92949A152</t>
  </si>
  <si>
    <t>6-32 nuts (box of 100)</t>
  </si>
  <si>
    <t>90257A007</t>
  </si>
  <si>
    <t>6-32 belleville washer (box of 100)</t>
  </si>
  <si>
    <t>90127A007</t>
  </si>
  <si>
    <t>8-32 x 7/8" bolt (box of 100)</t>
  </si>
  <si>
    <t>92949A198</t>
  </si>
  <si>
    <t>8-32 thumb nut (pack of 10)</t>
  </si>
  <si>
    <t>93886A120</t>
  </si>
  <si>
    <t>9406T170_PUSH-TO-CONNECT TUBE FITTING FOR SS TUBING</t>
  </si>
  <si>
    <t>Quick-disconnect tube coupling, socket</t>
  </si>
  <si>
    <t>51545K73</t>
  </si>
  <si>
    <t>Quick-disconnect tube coupling, plug</t>
  </si>
  <si>
    <t>51545K79</t>
  </si>
  <si>
    <t>5648K263_CHOOSE-A-COLOR POLYURETHANE TUBING</t>
  </si>
  <si>
    <t>Heatsink compound</t>
  </si>
  <si>
    <t>MoneyQiu</t>
  </si>
  <si>
    <t>B07H1PGY7X</t>
  </si>
  <si>
    <t>Glycol</t>
  </si>
  <si>
    <t>2-conductor wire</t>
  </si>
  <si>
    <t>Fleximount</t>
  </si>
  <si>
    <t>M09 / M17</t>
  </si>
  <si>
    <t>Custom metal enclosure</t>
  </si>
  <si>
    <t>Custom Part</t>
  </si>
  <si>
    <t>lhc-322</t>
  </si>
  <si>
    <t>pending</t>
  </si>
  <si>
    <t>custom</t>
  </si>
  <si>
    <t>Custom end cap</t>
  </si>
  <si>
    <t>lhc-317</t>
  </si>
  <si>
    <t>Far red LED</t>
  </si>
  <si>
    <t>Far red LED Driver</t>
  </si>
  <si>
    <t>TOTAL COST:</t>
  </si>
  <si>
    <t>3216K670_HARSH ENVIRONMENT MINI CONNECTOR</t>
  </si>
  <si>
    <t>Delrin or metal mounting bracket, back of enclosure</t>
  </si>
  <si>
    <t>Quantity for 10 Assemblies</t>
  </si>
  <si>
    <t>3/16" x 48" x 36" ABS REQUOTE</t>
  </si>
  <si>
    <t>9406T170</t>
  </si>
  <si>
    <t>Plastic-metal hydronic fittings</t>
  </si>
  <si>
    <t>3/8" OD, 1/4" ID x 1' PVC tubing</t>
  </si>
  <si>
    <t>5233K56</t>
  </si>
  <si>
    <t>C01630G00610012</t>
  </si>
  <si>
    <t>7-pole plug</t>
  </si>
  <si>
    <t xml:space="preserve">Mounting arm </t>
  </si>
  <si>
    <t>Digikey</t>
  </si>
  <si>
    <t>1866-2579-ND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</si>
</sst>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&quot;$&quot;#,##0.00"/>
  </numFmts>
  <fonts count="11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i/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3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/>
    <xf numFmtId="0" fontId="2" fillId="2" borderId="0" xfId="0" applyFont="1" applyFill="1" applyAlignment="1"/>
    <xf numFmtId="164" fontId="2" fillId="2" borderId="0" xfId="0" applyNumberFormat="1" applyFont="1" applyFill="1" applyAlignment="1"/>
    <xf numFmtId="0" fontId="3" fillId="2" borderId="0" xfId="0" applyFont="1" applyFill="1" applyAlignment="1"/>
    <xf numFmtId="165" fontId="2" fillId="2" borderId="0" xfId="0" applyNumberFormat="1" applyFont="1" applyFill="1" applyAlignment="1"/>
    <xf numFmtId="165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5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6" fillId="0" borderId="0" xfId="0" applyFont="1" applyAlignment="1"/>
    <xf numFmtId="165" fontId="2" fillId="0" borderId="0" xfId="0" applyNumberFormat="1" applyFont="1" applyAlignme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7" fillId="0" borderId="0" xfId="0" applyFont="1"/>
    <xf numFmtId="4" fontId="2" fillId="0" borderId="0" xfId="0" applyNumberFormat="1" applyFont="1" applyAlignment="1"/>
    <xf numFmtId="165" fontId="2" fillId="0" borderId="0" xfId="0" applyNumberFormat="1" applyFo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2" fillId="3" borderId="0" xfId="0" applyFont="1" applyFill="1" applyAlignment="1"/>
    <xf numFmtId="164" fontId="2" fillId="3" borderId="0" xfId="0" applyNumberFormat="1" applyFont="1" applyFill="1" applyAlignment="1"/>
    <xf numFmtId="0" fontId="2" fillId="3" borderId="0" xfId="0" applyFont="1" applyFill="1"/>
    <xf numFmtId="0" fontId="8" fillId="3" borderId="0" xfId="0" applyFont="1" applyFill="1" applyAlignment="1"/>
    <xf numFmtId="165" fontId="2" fillId="3" borderId="0" xfId="0" applyNumberFormat="1" applyFont="1" applyFill="1" applyAlignment="1"/>
    <xf numFmtId="165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165" fontId="2" fillId="2" borderId="0" xfId="0" applyNumberFormat="1" applyFont="1" applyFill="1"/>
    <xf numFmtId="165" fontId="2" fillId="3" borderId="0" xfId="0" applyNumberFormat="1" applyFont="1" applyFill="1"/>
    <xf numFmtId="0" fontId="2" fillId="3" borderId="0" xfId="0" applyFont="1" applyFill="1" applyAlignment="1">
      <alignment horizontal="right"/>
    </xf>
    <xf numFmtId="165" fontId="9" fillId="3" borderId="0" xfId="0" applyNumberFormat="1" applyFont="1" applyFill="1"/>
    <xf numFmtId="0" fontId="0" fillId="0" borderId="0" xfId="0" applyFont="1" applyAlignment="1"/>
    <xf numFmtId="0" fontId="0" fillId="0" borderId="0" xfId="0" applyFont="1" applyAlignment="1"/>
    <xf numFmtId="0" fontId="0" fillId="0" borderId="0" xfId="0"/>
    <xf numFmtId="0" fontId="0" fillId="0" borderId="0" xfId="0" applyFont="1" applyAlignment="1"/>
    <xf numFmtId="0" fontId="9" fillId="3" borderId="0" xfId="0" applyFont="1" applyFill="1" applyAlignment="1"/>
    <xf numFmtId="0" fontId="0" fillId="0" borderId="0" xfId="0" applyFont="1" applyAlignment="1"/>
    <xf numFmtId="0" fontId="10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/product-detail/en/mean-well-usa-inc/HLG-600H-42B/1866-2579-ND/77041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32"/>
  <sheetViews>
    <sheetView tabSelected="1" zoomScale="124" zoomScaleNormal="124" workbookViewId="0">
      <pane ySplit="1" topLeftCell="A2" activePane="bottomLeft" state="frozen"/>
      <selection pane="bottomLeft" activeCell="N7" sqref="N7"/>
    </sheetView>
  </sheetViews>
  <sheetFormatPr baseColWidth="10" defaultColWidth="0" defaultRowHeight="15.75" customHeight="1" zeroHeight="1" x14ac:dyDescent="0.15"/>
  <cols>
    <col min="1" max="1" width="47.83203125" customWidth="1"/>
    <col min="2" max="2" width="18.83203125" hidden="1" customWidth="1"/>
    <col min="3" max="3" width="16.83203125" hidden="1" customWidth="1"/>
    <col min="4" max="4" width="14.6640625" customWidth="1"/>
    <col min="5" max="5" width="14.6640625" style="37" hidden="1" customWidth="1"/>
    <col min="6" max="6" width="17.33203125" customWidth="1"/>
    <col min="7" max="7" width="17.5" hidden="1" customWidth="1"/>
    <col min="8" max="8" width="19.33203125" hidden="1" customWidth="1"/>
    <col min="9" max="9" width="14.5" hidden="1" customWidth="1"/>
    <col min="10" max="10" width="16.5" hidden="1" customWidth="1"/>
    <col min="11" max="11" width="22.83203125" hidden="1" customWidth="1"/>
    <col min="12" max="12" width="14.5" customWidth="1"/>
    <col min="13" max="13" width="19.6640625" customWidth="1"/>
    <col min="14" max="14" width="13.83203125" customWidth="1"/>
    <col min="15" max="15" width="18" customWidth="1"/>
    <col min="16" max="16" width="18" hidden="1" customWidth="1"/>
    <col min="17" max="17" width="19.6640625" hidden="1" customWidth="1"/>
    <col min="18" max="19" width="14.5" hidden="1" customWidth="1"/>
    <col min="20" max="20" width="22.5" hidden="1" customWidth="1"/>
    <col min="21" max="21" width="18.33203125" hidden="1" customWidth="1"/>
    <col min="22" max="22" width="14.5" hidden="1" customWidth="1"/>
    <col min="23" max="25" width="15.83203125" hidden="1" customWidth="1"/>
    <col min="26" max="16384" width="14.5" hidden="1"/>
  </cols>
  <sheetData>
    <row r="1" spans="1:25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96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16</v>
      </c>
      <c r="W1" s="1" t="s">
        <v>17</v>
      </c>
      <c r="X1" s="1" t="s">
        <v>18</v>
      </c>
      <c r="Y1" s="1" t="s">
        <v>20</v>
      </c>
    </row>
    <row r="2" spans="1:25" ht="15.75" customHeight="1" x14ac:dyDescent="0.15">
      <c r="A2" s="2" t="s">
        <v>21</v>
      </c>
      <c r="B2" s="3" t="s">
        <v>22</v>
      </c>
      <c r="C2" s="3" t="s">
        <v>23</v>
      </c>
      <c r="D2" s="3">
        <v>6</v>
      </c>
      <c r="E2" s="3">
        <f>D2*10</f>
        <v>60</v>
      </c>
      <c r="F2" s="4">
        <f t="shared" ref="F2:F20" si="0">D2*50</f>
        <v>300</v>
      </c>
      <c r="G2" s="3"/>
      <c r="H2" s="3"/>
      <c r="I2" s="2" t="s">
        <v>24</v>
      </c>
      <c r="J2" s="2" t="s">
        <v>25</v>
      </c>
      <c r="K2" s="2" t="s">
        <v>26</v>
      </c>
      <c r="L2" s="5" t="str">
        <f>HYPERLINK("https://www.digikey.com/products/en?keywords=PL1825SR%E2%80%8E","Digikey")</f>
        <v>Digikey</v>
      </c>
      <c r="M2" s="2" t="s">
        <v>27</v>
      </c>
      <c r="N2" s="6">
        <v>17.97</v>
      </c>
      <c r="O2" s="7">
        <f t="shared" ref="O2:O16" si="1">N2*F2</f>
        <v>5391</v>
      </c>
      <c r="P2" s="8">
        <v>16</v>
      </c>
      <c r="Q2" s="2">
        <v>8</v>
      </c>
      <c r="R2" s="2"/>
      <c r="S2" s="2"/>
      <c r="T2" s="9"/>
      <c r="U2" s="9"/>
      <c r="V2" s="10" t="str">
        <f>HYPERLINK("http://www.khatod.com/product.php?product=3758","Khatod")</f>
        <v>Khatod</v>
      </c>
      <c r="W2" s="11" t="s">
        <v>28</v>
      </c>
      <c r="X2" s="11" t="s">
        <v>28</v>
      </c>
      <c r="Y2" s="11" t="s">
        <v>28</v>
      </c>
    </row>
    <row r="3" spans="1:25" ht="15.75" customHeight="1" x14ac:dyDescent="0.15">
      <c r="A3" s="12" t="s">
        <v>29</v>
      </c>
      <c r="B3" s="13" t="s">
        <v>22</v>
      </c>
      <c r="C3" s="13" t="s">
        <v>23</v>
      </c>
      <c r="D3" s="12">
        <v>1</v>
      </c>
      <c r="E3" s="38">
        <f t="shared" ref="E3:E27" si="2">D3*10</f>
        <v>10</v>
      </c>
      <c r="F3" s="14">
        <f t="shared" si="0"/>
        <v>50</v>
      </c>
      <c r="I3" s="12" t="s">
        <v>30</v>
      </c>
      <c r="J3" s="12" t="s">
        <v>31</v>
      </c>
      <c r="K3" s="12" t="s">
        <v>32</v>
      </c>
      <c r="L3" s="15" t="str">
        <f>HYPERLINK("https://www.digikey.com/product-detail/en/aavid-thermal-division-of-boyd-corporation/416201U00000G/416201U00000G-ND/6131504","Digikey")</f>
        <v>Digikey</v>
      </c>
      <c r="M3" s="12" t="s">
        <v>33</v>
      </c>
      <c r="N3" s="16">
        <v>83.72</v>
      </c>
      <c r="O3" s="17">
        <f t="shared" si="1"/>
        <v>4186</v>
      </c>
      <c r="P3" s="18">
        <v>92</v>
      </c>
      <c r="Q3" s="12">
        <v>8</v>
      </c>
      <c r="V3" s="19" t="str">
        <f>HYPERLINK("https://www.mouser.com/ProductDetail/Aavid/416201U00000G?qs=Kvtkb%2Foz0wd%252b2DwBgC9QwQ%3D%3D&amp;gclid=Cj0KCQjwsZ3kBRCnARIsAIuAV_SCzW8MMEduJokoG7mhrmGWY7vjMiJKFcZbTnGTYMEb1N04ey1WXucaAhcLEALw_wcB","Mouser")</f>
        <v>Mouser</v>
      </c>
      <c r="W3" s="16">
        <v>80.73</v>
      </c>
      <c r="X3" s="12">
        <v>59</v>
      </c>
      <c r="Y3" s="12">
        <v>10</v>
      </c>
    </row>
    <row r="4" spans="1:25" ht="15.75" customHeight="1" x14ac:dyDescent="0.15">
      <c r="A4" s="12" t="s">
        <v>34</v>
      </c>
      <c r="B4" s="13" t="s">
        <v>22</v>
      </c>
      <c r="C4" s="13" t="s">
        <v>35</v>
      </c>
      <c r="D4" s="12">
        <v>1</v>
      </c>
      <c r="E4" s="38">
        <f t="shared" si="2"/>
        <v>10</v>
      </c>
      <c r="F4" s="14">
        <f t="shared" si="0"/>
        <v>50</v>
      </c>
      <c r="I4" s="12" t="s">
        <v>36</v>
      </c>
      <c r="J4" s="12" t="s">
        <v>37</v>
      </c>
      <c r="K4" s="12" t="s">
        <v>38</v>
      </c>
      <c r="L4" s="42" t="s">
        <v>105</v>
      </c>
      <c r="M4" s="12" t="s">
        <v>106</v>
      </c>
      <c r="N4" s="16">
        <v>169</v>
      </c>
      <c r="O4" s="17">
        <f t="shared" si="1"/>
        <v>8450</v>
      </c>
      <c r="P4" s="18">
        <v>9</v>
      </c>
      <c r="Q4" s="12">
        <v>6</v>
      </c>
      <c r="V4" s="19" t="str">
        <f>HYPERLINK("https://www.mouser.com/ProductDetail/ERP/SLM160W-39-40-ZA?qs=Ey4jopcCj2pGCn1F%2FZnO1g%3D%3D","Mouser")</f>
        <v>Mouser</v>
      </c>
      <c r="W4" s="16">
        <v>50.09</v>
      </c>
      <c r="X4" s="12">
        <v>50</v>
      </c>
      <c r="Y4" s="12">
        <v>12</v>
      </c>
    </row>
    <row r="5" spans="1:25" ht="15.75" customHeight="1" x14ac:dyDescent="0.15">
      <c r="A5" s="12" t="s">
        <v>39</v>
      </c>
      <c r="B5" s="13" t="s">
        <v>22</v>
      </c>
      <c r="C5" s="13" t="s">
        <v>23</v>
      </c>
      <c r="D5" s="12">
        <v>2</v>
      </c>
      <c r="E5" s="38">
        <f t="shared" si="2"/>
        <v>20</v>
      </c>
      <c r="F5" s="14">
        <f t="shared" si="0"/>
        <v>100</v>
      </c>
      <c r="I5" s="12" t="s">
        <v>40</v>
      </c>
      <c r="J5" s="12" t="s">
        <v>41</v>
      </c>
      <c r="K5" s="12" t="s">
        <v>42</v>
      </c>
      <c r="L5" s="15" t="str">
        <f>HYPERLINK("https://www.digikey.com/product-detail/en/bridgelux/BXRC-50C10K1-D-74-SE/976-1596-ND/6557098","Digikey")</f>
        <v>Digikey</v>
      </c>
      <c r="M5" s="12" t="s">
        <v>43</v>
      </c>
      <c r="N5" s="16">
        <v>22.98</v>
      </c>
      <c r="O5" s="17">
        <f t="shared" si="1"/>
        <v>2298</v>
      </c>
      <c r="P5" s="18">
        <v>1699</v>
      </c>
      <c r="Q5" s="12">
        <v>6</v>
      </c>
    </row>
    <row r="6" spans="1:25" ht="15.75" customHeight="1" x14ac:dyDescent="0.15">
      <c r="A6" s="12" t="s">
        <v>44</v>
      </c>
      <c r="B6" s="13" t="s">
        <v>22</v>
      </c>
      <c r="C6" s="13" t="s">
        <v>23</v>
      </c>
      <c r="D6" s="12">
        <v>2</v>
      </c>
      <c r="E6" s="38">
        <f t="shared" si="2"/>
        <v>20</v>
      </c>
      <c r="F6" s="14">
        <f t="shared" si="0"/>
        <v>100</v>
      </c>
      <c r="I6" s="12" t="s">
        <v>40</v>
      </c>
      <c r="J6" s="12" t="s">
        <v>41</v>
      </c>
      <c r="K6" s="12" t="s">
        <v>45</v>
      </c>
      <c r="L6" s="15" t="str">
        <f>HYPERLINK("https://www.digikey.com/product-detail/en/bridgelux/BXRC-30E10K0-D-73-SE/976-1590-ND/6557092","Digikey")</f>
        <v>Digikey</v>
      </c>
      <c r="M6" s="12" t="s">
        <v>46</v>
      </c>
      <c r="N6" s="16">
        <v>22.98</v>
      </c>
      <c r="O6" s="17">
        <f t="shared" si="1"/>
        <v>2298</v>
      </c>
      <c r="P6" s="18">
        <v>423</v>
      </c>
      <c r="Q6" s="12">
        <v>6</v>
      </c>
    </row>
    <row r="7" spans="1:25" ht="15.75" customHeight="1" x14ac:dyDescent="0.15">
      <c r="A7" s="12" t="s">
        <v>47</v>
      </c>
      <c r="B7" s="13" t="s">
        <v>48</v>
      </c>
      <c r="C7" s="13" t="s">
        <v>35</v>
      </c>
      <c r="D7" s="12">
        <v>1</v>
      </c>
      <c r="E7" s="38">
        <f t="shared" si="2"/>
        <v>10</v>
      </c>
      <c r="F7" s="14">
        <f t="shared" si="0"/>
        <v>50</v>
      </c>
      <c r="I7" s="12" t="s">
        <v>49</v>
      </c>
      <c r="J7" s="12" t="s">
        <v>50</v>
      </c>
      <c r="K7" s="12" t="s">
        <v>50</v>
      </c>
      <c r="L7" s="15" t="str">
        <f>HYPERLINK("https://www.mcmaster.com/1376n13","McMaster Carr")</f>
        <v>McMaster Carr</v>
      </c>
      <c r="M7" s="12" t="s">
        <v>51</v>
      </c>
      <c r="N7" s="16">
        <v>10.38</v>
      </c>
      <c r="O7" s="17">
        <f t="shared" si="1"/>
        <v>519</v>
      </c>
      <c r="P7" s="18" t="s">
        <v>52</v>
      </c>
      <c r="Q7" s="18" t="s">
        <v>52</v>
      </c>
    </row>
    <row r="8" spans="1:25" ht="15.75" customHeight="1" x14ac:dyDescent="0.15">
      <c r="A8" s="12" t="s">
        <v>53</v>
      </c>
      <c r="B8" s="13" t="s">
        <v>48</v>
      </c>
      <c r="C8" s="13" t="s">
        <v>54</v>
      </c>
      <c r="D8" s="20">
        <f>1/15</f>
        <v>6.6666666666666666E-2</v>
      </c>
      <c r="E8" s="38">
        <f t="shared" si="2"/>
        <v>0.66666666666666663</v>
      </c>
      <c r="F8" s="14">
        <f t="shared" si="0"/>
        <v>3.3333333333333335</v>
      </c>
      <c r="I8" s="12" t="s">
        <v>55</v>
      </c>
      <c r="J8" s="12" t="s">
        <v>50</v>
      </c>
      <c r="K8" s="12" t="s">
        <v>50</v>
      </c>
      <c r="L8" s="15" t="str">
        <f>HYPERLINK("https://www.mcmaster.com/89015k59","McMaster Carr")</f>
        <v>McMaster Carr</v>
      </c>
      <c r="M8" s="12" t="s">
        <v>56</v>
      </c>
      <c r="N8" s="16">
        <v>191.8</v>
      </c>
      <c r="O8" s="17">
        <f t="shared" si="1"/>
        <v>639.33333333333337</v>
      </c>
      <c r="P8" s="18" t="s">
        <v>52</v>
      </c>
      <c r="Q8" s="18" t="s">
        <v>52</v>
      </c>
    </row>
    <row r="9" spans="1:25" ht="15.75" customHeight="1" x14ac:dyDescent="0.15">
      <c r="A9" s="12" t="s">
        <v>97</v>
      </c>
      <c r="B9" s="13" t="s">
        <v>48</v>
      </c>
      <c r="C9" s="13" t="s">
        <v>54</v>
      </c>
      <c r="D9" s="20">
        <v>0.05</v>
      </c>
      <c r="E9" s="38">
        <f t="shared" si="2"/>
        <v>0.5</v>
      </c>
      <c r="F9" s="14">
        <f t="shared" si="0"/>
        <v>2.5</v>
      </c>
      <c r="I9" s="12" t="s">
        <v>57</v>
      </c>
      <c r="J9" s="12" t="s">
        <v>50</v>
      </c>
      <c r="K9" s="12" t="s">
        <v>50</v>
      </c>
      <c r="L9" s="15" t="str">
        <f>HYPERLINK("https://www.mcmaster.com/8505k753","McMaster Carr")</f>
        <v>McMaster Carr</v>
      </c>
      <c r="M9" s="12" t="s">
        <v>58</v>
      </c>
      <c r="N9" s="16">
        <v>99.41</v>
      </c>
      <c r="O9" s="17">
        <f t="shared" si="1"/>
        <v>248.52499999999998</v>
      </c>
      <c r="P9" s="18" t="s">
        <v>52</v>
      </c>
      <c r="Q9" s="18" t="s">
        <v>52</v>
      </c>
    </row>
    <row r="10" spans="1:25" ht="15.75" customHeight="1" x14ac:dyDescent="0.15">
      <c r="A10" s="12" t="s">
        <v>59</v>
      </c>
      <c r="B10" s="13" t="s">
        <v>22</v>
      </c>
      <c r="C10" s="13" t="s">
        <v>23</v>
      </c>
      <c r="D10" s="12">
        <v>0.12</v>
      </c>
      <c r="E10" s="38">
        <f t="shared" si="2"/>
        <v>1.2</v>
      </c>
      <c r="F10" s="14">
        <f t="shared" si="0"/>
        <v>6</v>
      </c>
      <c r="J10" s="12" t="s">
        <v>50</v>
      </c>
      <c r="K10" s="12" t="s">
        <v>50</v>
      </c>
      <c r="L10" s="15" t="str">
        <f>HYPERLINK("https://www.mcmaster.com/91773a103","McMaster Carr")</f>
        <v>McMaster Carr</v>
      </c>
      <c r="M10" s="12" t="s">
        <v>60</v>
      </c>
      <c r="N10" s="16">
        <v>8.26</v>
      </c>
      <c r="O10" s="17">
        <f t="shared" si="1"/>
        <v>49.56</v>
      </c>
      <c r="P10" s="18" t="s">
        <v>52</v>
      </c>
      <c r="Q10" s="18" t="s">
        <v>52</v>
      </c>
    </row>
    <row r="11" spans="1:25" ht="15.75" customHeight="1" x14ac:dyDescent="0.15">
      <c r="A11" s="12" t="s">
        <v>61</v>
      </c>
      <c r="B11" s="13" t="s">
        <v>22</v>
      </c>
      <c r="C11" s="13" t="s">
        <v>23</v>
      </c>
      <c r="D11" s="12">
        <v>0.04</v>
      </c>
      <c r="E11" s="38">
        <f t="shared" si="2"/>
        <v>0.4</v>
      </c>
      <c r="F11" s="14">
        <f t="shared" si="0"/>
        <v>2</v>
      </c>
      <c r="J11" s="12" t="s">
        <v>50</v>
      </c>
      <c r="K11" s="12" t="s">
        <v>50</v>
      </c>
      <c r="L11" s="15" t="str">
        <f>HYPERLINK("https://www.mcmaster.com/92949a152","McMaster Carr")</f>
        <v>McMaster Carr</v>
      </c>
      <c r="M11" s="12" t="s">
        <v>62</v>
      </c>
      <c r="N11" s="16">
        <v>6.22</v>
      </c>
      <c r="O11" s="17">
        <f t="shared" si="1"/>
        <v>12.44</v>
      </c>
      <c r="P11" s="18" t="s">
        <v>52</v>
      </c>
      <c r="Q11" s="18" t="s">
        <v>52</v>
      </c>
    </row>
    <row r="12" spans="1:25" ht="15.75" customHeight="1" x14ac:dyDescent="0.15">
      <c r="A12" s="12" t="s">
        <v>63</v>
      </c>
      <c r="B12" s="13" t="s">
        <v>22</v>
      </c>
      <c r="C12" s="13" t="s">
        <v>23</v>
      </c>
      <c r="D12" s="12">
        <v>0.04</v>
      </c>
      <c r="E12" s="38">
        <f t="shared" si="2"/>
        <v>0.4</v>
      </c>
      <c r="F12" s="14">
        <f t="shared" si="0"/>
        <v>2</v>
      </c>
      <c r="J12" s="13" t="s">
        <v>50</v>
      </c>
      <c r="K12" s="13" t="s">
        <v>50</v>
      </c>
      <c r="L12" s="15" t="str">
        <f>HYPERLINK("https://www.mcmaster.com/90257a007","McMaster Carr")</f>
        <v>McMaster Carr</v>
      </c>
      <c r="M12" s="12" t="s">
        <v>64</v>
      </c>
      <c r="N12" s="16">
        <v>6.75</v>
      </c>
      <c r="O12" s="17">
        <f t="shared" si="1"/>
        <v>13.5</v>
      </c>
      <c r="P12" s="18" t="s">
        <v>52</v>
      </c>
      <c r="Q12" s="18" t="s">
        <v>52</v>
      </c>
    </row>
    <row r="13" spans="1:25" ht="15.75" customHeight="1" x14ac:dyDescent="0.15">
      <c r="A13" s="12" t="s">
        <v>65</v>
      </c>
      <c r="B13" s="13" t="s">
        <v>22</v>
      </c>
      <c r="C13" s="13" t="s">
        <v>23</v>
      </c>
      <c r="D13" s="12">
        <v>0.04</v>
      </c>
      <c r="E13" s="38">
        <f t="shared" si="2"/>
        <v>0.4</v>
      </c>
      <c r="F13" s="14">
        <f t="shared" si="0"/>
        <v>2</v>
      </c>
      <c r="J13" s="13" t="s">
        <v>50</v>
      </c>
      <c r="K13" s="13" t="s">
        <v>50</v>
      </c>
      <c r="L13" s="15" t="str">
        <f>HYPERLINK("https://www.mcmaster.com/90127a007","McMaster Carr")</f>
        <v>McMaster Carr</v>
      </c>
      <c r="M13" s="12" t="s">
        <v>66</v>
      </c>
      <c r="N13" s="16">
        <v>8.5</v>
      </c>
      <c r="O13" s="17">
        <f t="shared" si="1"/>
        <v>17</v>
      </c>
      <c r="P13" s="18" t="s">
        <v>52</v>
      </c>
      <c r="Q13" s="18" t="s">
        <v>52</v>
      </c>
    </row>
    <row r="14" spans="1:25" ht="15.75" customHeight="1" x14ac:dyDescent="0.15">
      <c r="A14" s="12" t="s">
        <v>67</v>
      </c>
      <c r="B14" s="13" t="s">
        <v>22</v>
      </c>
      <c r="C14" s="13" t="s">
        <v>35</v>
      </c>
      <c r="D14" s="12">
        <v>0.1</v>
      </c>
      <c r="E14" s="38">
        <f t="shared" si="2"/>
        <v>1</v>
      </c>
      <c r="F14" s="14">
        <f t="shared" si="0"/>
        <v>5</v>
      </c>
      <c r="J14" s="12" t="s">
        <v>50</v>
      </c>
      <c r="K14" s="12" t="s">
        <v>50</v>
      </c>
      <c r="L14" s="15" t="str">
        <f>HYPERLINK("https://www.mcmaster.com/92949a198","McMaster Carr")</f>
        <v>McMaster Carr</v>
      </c>
      <c r="M14" s="12" t="s">
        <v>68</v>
      </c>
      <c r="N14" s="16">
        <v>8.09</v>
      </c>
      <c r="O14" s="17">
        <f t="shared" si="1"/>
        <v>40.450000000000003</v>
      </c>
      <c r="P14" s="18" t="s">
        <v>52</v>
      </c>
      <c r="Q14" s="18" t="s">
        <v>52</v>
      </c>
    </row>
    <row r="15" spans="1:25" ht="15.75" customHeight="1" x14ac:dyDescent="0.15">
      <c r="A15" s="12" t="s">
        <v>69</v>
      </c>
      <c r="B15" s="13" t="s">
        <v>22</v>
      </c>
      <c r="C15" s="13" t="s">
        <v>35</v>
      </c>
      <c r="D15" s="12">
        <v>0.2</v>
      </c>
      <c r="E15" s="38">
        <f t="shared" si="2"/>
        <v>2</v>
      </c>
      <c r="F15" s="14">
        <f t="shared" si="0"/>
        <v>10</v>
      </c>
      <c r="J15" s="12" t="s">
        <v>50</v>
      </c>
      <c r="K15" s="12" t="s">
        <v>50</v>
      </c>
      <c r="L15" s="15" t="str">
        <f>HYPERLINK("https://www.mcmaster.com/93886a120","McMaster Carr")</f>
        <v>McMaster Carr</v>
      </c>
      <c r="M15" s="12" t="s">
        <v>70</v>
      </c>
      <c r="N15" s="16">
        <v>8.0299999999999994</v>
      </c>
      <c r="O15" s="17">
        <f t="shared" si="1"/>
        <v>80.3</v>
      </c>
      <c r="P15" s="18" t="s">
        <v>52</v>
      </c>
      <c r="Q15" s="18" t="s">
        <v>52</v>
      </c>
    </row>
    <row r="16" spans="1:25" ht="15.75" customHeight="1" x14ac:dyDescent="0.15">
      <c r="A16" s="12" t="s">
        <v>99</v>
      </c>
      <c r="B16" s="13" t="s">
        <v>22</v>
      </c>
      <c r="C16" s="13" t="s">
        <v>23</v>
      </c>
      <c r="D16" s="12">
        <v>2</v>
      </c>
      <c r="E16" s="38">
        <f t="shared" si="2"/>
        <v>20</v>
      </c>
      <c r="F16" s="14">
        <f t="shared" si="0"/>
        <v>100</v>
      </c>
      <c r="I16" s="12" t="s">
        <v>71</v>
      </c>
      <c r="L16" s="15" t="str">
        <f>HYPERLINK("https://www.mcmaster.com/93886a120","McMaster Carr")</f>
        <v>McMaster Carr</v>
      </c>
      <c r="M16" s="13" t="s">
        <v>98</v>
      </c>
      <c r="N16" s="21">
        <v>6.45</v>
      </c>
      <c r="O16" s="17">
        <f t="shared" si="1"/>
        <v>645</v>
      </c>
      <c r="P16" s="22"/>
    </row>
    <row r="17" spans="1:25" ht="15.75" customHeight="1" x14ac:dyDescent="0.15">
      <c r="A17" s="12" t="s">
        <v>72</v>
      </c>
      <c r="B17" s="13" t="s">
        <v>22</v>
      </c>
      <c r="C17" s="13" t="s">
        <v>35</v>
      </c>
      <c r="D17" s="12">
        <v>2</v>
      </c>
      <c r="E17" s="38">
        <f t="shared" si="2"/>
        <v>20</v>
      </c>
      <c r="F17" s="14">
        <f t="shared" si="0"/>
        <v>100</v>
      </c>
      <c r="J17" s="12" t="s">
        <v>50</v>
      </c>
      <c r="K17" s="12" t="s">
        <v>50</v>
      </c>
      <c r="L17" s="15" t="str">
        <f>HYPERLINK("https://www.mcmaster.com/51545k73","McMaster Carr")</f>
        <v>McMaster Carr</v>
      </c>
      <c r="M17" s="12" t="s">
        <v>73</v>
      </c>
      <c r="N17" s="16">
        <v>18.63</v>
      </c>
      <c r="O17" s="17">
        <f t="shared" ref="O17:O20" si="3">N17*F17</f>
        <v>1863</v>
      </c>
      <c r="P17" s="18" t="s">
        <v>52</v>
      </c>
      <c r="Q17" s="18" t="s">
        <v>52</v>
      </c>
    </row>
    <row r="18" spans="1:25" ht="15.75" customHeight="1" x14ac:dyDescent="0.15">
      <c r="A18" s="23" t="s">
        <v>74</v>
      </c>
      <c r="B18" s="24" t="s">
        <v>22</v>
      </c>
      <c r="C18" s="24" t="s">
        <v>35</v>
      </c>
      <c r="D18" s="23">
        <v>2</v>
      </c>
      <c r="E18" s="38">
        <f t="shared" si="2"/>
        <v>20</v>
      </c>
      <c r="F18" s="25">
        <f t="shared" si="0"/>
        <v>100</v>
      </c>
      <c r="G18" s="26"/>
      <c r="H18" s="26"/>
      <c r="I18" s="26"/>
      <c r="J18" s="23" t="s">
        <v>50</v>
      </c>
      <c r="K18" s="23" t="s">
        <v>50</v>
      </c>
      <c r="L18" s="27" t="str">
        <f>HYPERLINK("https://www.mcmaster.com/51545k79","McMaster Carr")</f>
        <v>McMaster Carr</v>
      </c>
      <c r="M18" s="23" t="s">
        <v>75</v>
      </c>
      <c r="N18" s="28">
        <v>13.55</v>
      </c>
      <c r="O18" s="29">
        <f t="shared" si="3"/>
        <v>1355</v>
      </c>
      <c r="P18" s="30" t="s">
        <v>52</v>
      </c>
      <c r="Q18" s="30" t="s">
        <v>52</v>
      </c>
      <c r="R18" s="26"/>
      <c r="S18" s="26"/>
      <c r="T18" s="26"/>
      <c r="U18" s="26"/>
      <c r="V18" s="26"/>
      <c r="W18" s="26"/>
      <c r="X18" s="26"/>
      <c r="Y18" s="26"/>
    </row>
    <row r="19" spans="1:25" ht="15.75" customHeight="1" x14ac:dyDescent="0.15">
      <c r="A19" s="12" t="s">
        <v>100</v>
      </c>
      <c r="B19" s="13" t="s">
        <v>22</v>
      </c>
      <c r="C19" s="13" t="s">
        <v>23</v>
      </c>
      <c r="D19" s="12">
        <v>20</v>
      </c>
      <c r="E19" s="38">
        <f t="shared" si="2"/>
        <v>200</v>
      </c>
      <c r="F19" s="14">
        <f t="shared" si="0"/>
        <v>1000</v>
      </c>
      <c r="I19" s="12" t="s">
        <v>76</v>
      </c>
      <c r="J19" s="12" t="s">
        <v>50</v>
      </c>
      <c r="K19" s="12" t="s">
        <v>50</v>
      </c>
      <c r="L19" s="15"/>
      <c r="M19" s="12" t="s">
        <v>101</v>
      </c>
      <c r="N19" s="16">
        <v>0.28000000000000003</v>
      </c>
      <c r="O19" s="17">
        <f t="shared" si="3"/>
        <v>280</v>
      </c>
      <c r="P19" s="18" t="s">
        <v>52</v>
      </c>
      <c r="Q19" s="18" t="s">
        <v>52</v>
      </c>
    </row>
    <row r="20" spans="1:25" ht="15.75" customHeight="1" x14ac:dyDescent="0.15">
      <c r="A20" s="12" t="s">
        <v>77</v>
      </c>
      <c r="B20" s="13" t="s">
        <v>48</v>
      </c>
      <c r="C20" s="13" t="s">
        <v>23</v>
      </c>
      <c r="D20" s="12">
        <v>0.04</v>
      </c>
      <c r="E20" s="38">
        <f t="shared" si="2"/>
        <v>0.4</v>
      </c>
      <c r="F20" s="14">
        <f t="shared" si="0"/>
        <v>2</v>
      </c>
      <c r="J20" s="12" t="s">
        <v>78</v>
      </c>
      <c r="K20" s="12" t="s">
        <v>79</v>
      </c>
      <c r="L20" s="15" t="str">
        <f>HYPERLINK("https://www.amazon.com/MY-700-50g-Thermal-Compound-Paste-Conductivity/dp/B07H1PGY7X/ref=sr_1_21_sspa?keywords=thermal+paste&amp;qid=1552396651&amp;s=gateway&amp;sr=8-21-spons&amp;psc=1","Amazon")</f>
        <v>Amazon</v>
      </c>
      <c r="M20" s="12" t="s">
        <v>79</v>
      </c>
      <c r="N20" s="16">
        <v>9.99</v>
      </c>
      <c r="O20" s="17">
        <f t="shared" si="3"/>
        <v>19.98</v>
      </c>
      <c r="P20" s="18" t="s">
        <v>52</v>
      </c>
      <c r="Q20" s="18" t="s">
        <v>52</v>
      </c>
    </row>
    <row r="21" spans="1:25" ht="15.75" customHeight="1" x14ac:dyDescent="0.15">
      <c r="A21" s="12" t="s">
        <v>80</v>
      </c>
      <c r="B21" s="13" t="s">
        <v>48</v>
      </c>
      <c r="C21" s="13" t="s">
        <v>23</v>
      </c>
      <c r="E21" s="38">
        <f t="shared" si="2"/>
        <v>0</v>
      </c>
      <c r="F21" s="13"/>
      <c r="N21" s="21"/>
      <c r="O21" s="22"/>
      <c r="P21" s="22"/>
    </row>
    <row r="22" spans="1:25" ht="15.75" customHeight="1" x14ac:dyDescent="0.15">
      <c r="A22" s="12" t="s">
        <v>81</v>
      </c>
      <c r="B22" s="13" t="s">
        <v>48</v>
      </c>
      <c r="C22" s="13" t="s">
        <v>23</v>
      </c>
      <c r="E22" s="38">
        <f t="shared" si="2"/>
        <v>0</v>
      </c>
      <c r="F22" s="13"/>
      <c r="N22" s="21"/>
      <c r="O22" s="22"/>
      <c r="P22" s="22"/>
    </row>
    <row r="23" spans="1:25" s="36" customFormat="1" ht="15.75" customHeight="1" x14ac:dyDescent="0.15">
      <c r="A23" s="13" t="s">
        <v>103</v>
      </c>
      <c r="B23" s="13" t="s">
        <v>48</v>
      </c>
      <c r="C23" s="24" t="s">
        <v>35</v>
      </c>
      <c r="D23" s="36">
        <v>1</v>
      </c>
      <c r="E23" s="38">
        <f t="shared" si="2"/>
        <v>10</v>
      </c>
      <c r="F23" s="14">
        <f t="shared" ref="F23" si="4">D23*50</f>
        <v>50</v>
      </c>
      <c r="I23" s="36" t="s">
        <v>94</v>
      </c>
      <c r="J23" s="36" t="s">
        <v>50</v>
      </c>
      <c r="K23" s="36" t="s">
        <v>50</v>
      </c>
      <c r="L23" s="15" t="str">
        <f>HYPERLINK("https://www.digikey.com/product-detail/en/bridgelux/BXRC-30E10K0-D-73-SE/976-1590-ND/6557092","Digikey")</f>
        <v>Digikey</v>
      </c>
      <c r="M23" s="39" t="s">
        <v>102</v>
      </c>
      <c r="N23" s="21">
        <v>9.1300000000000008</v>
      </c>
      <c r="O23" s="17">
        <f t="shared" ref="O23" si="5">N23*F23</f>
        <v>456.50000000000006</v>
      </c>
      <c r="P23" s="22" t="s">
        <v>52</v>
      </c>
      <c r="Q23" s="22" t="s">
        <v>52</v>
      </c>
    </row>
    <row r="24" spans="1:25" ht="15.75" customHeight="1" x14ac:dyDescent="0.15">
      <c r="A24" s="2" t="s">
        <v>104</v>
      </c>
      <c r="B24" s="3" t="s">
        <v>22</v>
      </c>
      <c r="C24" s="3" t="s">
        <v>35</v>
      </c>
      <c r="D24" s="2">
        <v>1</v>
      </c>
      <c r="E24" s="3">
        <f t="shared" si="2"/>
        <v>10</v>
      </c>
      <c r="F24" s="4">
        <f t="shared" ref="F24:F27" si="6">D24*50</f>
        <v>50</v>
      </c>
      <c r="G24" s="9"/>
      <c r="H24" s="9"/>
      <c r="I24" s="9"/>
      <c r="J24" s="2" t="s">
        <v>82</v>
      </c>
      <c r="K24" s="2" t="s">
        <v>83</v>
      </c>
      <c r="L24" s="10" t="str">
        <f>HYPERLINK("https://www.fleximounts.com/product-category/monitor-mounts/?filtering=1&amp;filter_display-type=single-display","Fleximount")</f>
        <v>Fleximount</v>
      </c>
      <c r="M24" s="9"/>
      <c r="N24" s="6">
        <v>69</v>
      </c>
      <c r="O24" s="6">
        <f>N24*F24</f>
        <v>3450</v>
      </c>
      <c r="P24" s="31"/>
      <c r="Q24" s="8" t="s">
        <v>52</v>
      </c>
      <c r="R24" s="9"/>
      <c r="S24" s="9"/>
      <c r="T24" s="9"/>
      <c r="U24" s="9"/>
      <c r="V24" s="9"/>
      <c r="W24" s="9"/>
      <c r="X24" s="9"/>
      <c r="Y24" s="9"/>
    </row>
    <row r="25" spans="1:25" ht="15.75" customHeight="1" x14ac:dyDescent="0.15">
      <c r="A25" s="2" t="s">
        <v>84</v>
      </c>
      <c r="B25" s="3" t="s">
        <v>85</v>
      </c>
      <c r="C25" s="3" t="s">
        <v>35</v>
      </c>
      <c r="D25" s="2">
        <v>1</v>
      </c>
      <c r="E25" s="3">
        <f t="shared" si="2"/>
        <v>10</v>
      </c>
      <c r="F25" s="4">
        <f t="shared" si="6"/>
        <v>50</v>
      </c>
      <c r="G25" s="9"/>
      <c r="H25" s="9"/>
      <c r="I25" s="2" t="s">
        <v>86</v>
      </c>
      <c r="J25" s="2" t="s">
        <v>87</v>
      </c>
      <c r="K25" s="2" t="s">
        <v>88</v>
      </c>
      <c r="L25" s="9"/>
      <c r="M25" s="9"/>
      <c r="N25" s="32">
        <v>26</v>
      </c>
      <c r="O25" s="6">
        <f>N25*F25</f>
        <v>1300</v>
      </c>
      <c r="P25" s="31"/>
      <c r="Q25" s="9"/>
      <c r="R25" s="9"/>
      <c r="S25" s="9"/>
      <c r="T25" s="9"/>
      <c r="U25" s="9"/>
      <c r="V25" s="9"/>
      <c r="W25" s="9"/>
      <c r="X25" s="9"/>
      <c r="Y25" s="9"/>
    </row>
    <row r="26" spans="1:25" ht="15.75" customHeight="1" x14ac:dyDescent="0.15">
      <c r="A26" s="2" t="s">
        <v>89</v>
      </c>
      <c r="B26" s="3" t="s">
        <v>85</v>
      </c>
      <c r="C26" s="3" t="s">
        <v>35</v>
      </c>
      <c r="D26" s="2">
        <v>2</v>
      </c>
      <c r="E26" s="3">
        <f t="shared" si="2"/>
        <v>20</v>
      </c>
      <c r="F26" s="4">
        <f t="shared" si="6"/>
        <v>100</v>
      </c>
      <c r="G26" s="9"/>
      <c r="H26" s="9"/>
      <c r="I26" s="2" t="s">
        <v>90</v>
      </c>
      <c r="J26" s="2" t="s">
        <v>87</v>
      </c>
      <c r="K26" s="2" t="s">
        <v>88</v>
      </c>
      <c r="L26" s="9"/>
      <c r="M26" s="9"/>
      <c r="N26" s="32"/>
      <c r="O26" s="6"/>
      <c r="P26" s="31"/>
      <c r="Q26" s="9"/>
      <c r="R26" s="9"/>
      <c r="S26" s="9"/>
      <c r="T26" s="9"/>
      <c r="U26" s="9"/>
      <c r="V26" s="9"/>
      <c r="W26" s="9"/>
      <c r="X26" s="9"/>
      <c r="Y26" s="9"/>
    </row>
    <row r="27" spans="1:25" ht="15.75" customHeight="1" x14ac:dyDescent="0.15">
      <c r="A27" s="2" t="s">
        <v>91</v>
      </c>
      <c r="B27" s="3" t="s">
        <v>22</v>
      </c>
      <c r="C27" s="3" t="s">
        <v>35</v>
      </c>
      <c r="D27" s="2">
        <v>2</v>
      </c>
      <c r="E27" s="3">
        <f t="shared" si="2"/>
        <v>20</v>
      </c>
      <c r="F27" s="4">
        <f t="shared" si="6"/>
        <v>100</v>
      </c>
      <c r="G27" s="9"/>
      <c r="H27" s="9"/>
      <c r="I27" s="9"/>
      <c r="J27" s="9"/>
      <c r="K27" s="9"/>
      <c r="L27" s="9"/>
      <c r="M27" s="9"/>
      <c r="N27" s="32"/>
      <c r="O27" s="6"/>
      <c r="P27" s="31"/>
      <c r="Q27" s="9"/>
      <c r="R27" s="9"/>
      <c r="S27" s="9"/>
      <c r="T27" s="9"/>
      <c r="U27" s="9"/>
      <c r="V27" s="9"/>
      <c r="W27" s="9"/>
      <c r="X27" s="9"/>
      <c r="Y27" s="9"/>
    </row>
    <row r="28" spans="1:25" ht="15.75" customHeight="1" x14ac:dyDescent="0.15">
      <c r="A28" s="23" t="s">
        <v>92</v>
      </c>
      <c r="B28" s="24"/>
      <c r="C28" s="24"/>
      <c r="D28" s="23"/>
      <c r="E28" s="24"/>
      <c r="F28" s="25"/>
      <c r="G28" s="26"/>
      <c r="H28" s="26"/>
      <c r="I28" s="26"/>
      <c r="J28" s="23"/>
      <c r="K28" s="23"/>
      <c r="L28" s="26"/>
      <c r="M28" s="26"/>
      <c r="N28" s="33"/>
      <c r="O28" s="6"/>
      <c r="P28" s="34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5.75" customHeight="1" x14ac:dyDescent="0.15">
      <c r="A29" s="23" t="s">
        <v>95</v>
      </c>
      <c r="B29" s="38" t="s">
        <v>85</v>
      </c>
      <c r="C29" s="24" t="s">
        <v>35</v>
      </c>
      <c r="D29" s="23">
        <v>1</v>
      </c>
      <c r="E29" s="24"/>
      <c r="F29" s="14">
        <f t="shared" ref="F29" si="7">D29*50</f>
        <v>50</v>
      </c>
      <c r="G29" s="26"/>
      <c r="H29" s="26"/>
      <c r="I29" s="26"/>
      <c r="J29" s="23"/>
      <c r="K29" s="23"/>
      <c r="L29" s="26"/>
      <c r="M29" s="26"/>
      <c r="N29" s="33">
        <v>12</v>
      </c>
      <c r="O29" s="6">
        <f t="shared" ref="O29" si="8">N29*F29</f>
        <v>600</v>
      </c>
      <c r="P29" s="34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15.75" customHeight="1" x14ac:dyDescent="0.15">
      <c r="A30" s="40" t="s">
        <v>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33">
        <f>SUM(N2:N27)</f>
        <v>817.12</v>
      </c>
      <c r="O30" s="35">
        <f>SUM(O2:O27)</f>
        <v>33612.588333333333</v>
      </c>
      <c r="P30" s="34"/>
      <c r="Q30" s="26"/>
      <c r="R30" s="26"/>
      <c r="S30" s="26"/>
      <c r="T30" s="26"/>
      <c r="U30" s="26"/>
      <c r="V30" s="26"/>
      <c r="W30" s="26"/>
      <c r="X30" s="26"/>
      <c r="Y30" s="26"/>
    </row>
    <row r="31" spans="1:25" ht="15.75" customHeight="1" x14ac:dyDescent="0.15"/>
    <row r="32" spans="1:25" ht="15.75" customHeight="1" x14ac:dyDescent="0.15"/>
  </sheetData>
  <mergeCells count="1">
    <mergeCell ref="A30:M30"/>
  </mergeCells>
  <dataValidations disablePrompts="1" count="2">
    <dataValidation type="list" allowBlank="1" sqref="C2:C29" xr:uid="{00000000-0002-0000-0000-000000000000}">
      <formula1>"In Design,In Testing,Validated"</formula1>
    </dataValidation>
    <dataValidation type="list" allowBlank="1" sqref="B2:B29" xr:uid="{00000000-0002-0000-0000-000001000000}">
      <formula1>"Stock Part,Stock Material,Custom Part,Other"</formula1>
    </dataValidation>
  </dataValidations>
  <hyperlinks>
    <hyperlink ref="L4" r:id="rId1" xr:uid="{7F44BF34-D782-2D49-8653-933D5279BE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S</cp:lastModifiedBy>
  <dcterms:created xsi:type="dcterms:W3CDTF">2019-03-12T19:35:00Z</dcterms:created>
  <dcterms:modified xsi:type="dcterms:W3CDTF">2019-03-22T15:11:48Z</dcterms:modified>
</cp:coreProperties>
</file>