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codeName="ThisWorkbook"/>
  <mc:AlternateContent xmlns:mc="http://schemas.openxmlformats.org/markup-compatibility/2006">
    <mc:Choice Requires="x15">
      <x15ac:absPath xmlns:x15ac="http://schemas.microsoft.com/office/spreadsheetml/2010/11/ac" url="/Users/sarah/Desktop/ubc-data-only-all-varibles-with-cleaning/final-version-UBC_only-full-variables-wih-cleaning/"/>
    </mc:Choice>
  </mc:AlternateContent>
  <xr:revisionPtr revIDLastSave="0" documentId="13_ncr:1_{72FD9A53-EDA1-7741-A86E-70CBA5C5640A}" xr6:coauthVersionLast="46" xr6:coauthVersionMax="46" xr10:uidLastSave="{00000000-0000-0000-0000-000000000000}"/>
  <bookViews>
    <workbookView xWindow="1560" yWindow="500" windowWidth="33960" windowHeight="17500" tabRatio="757" activeTab="1" xr2:uid="{00000000-000D-0000-FFFF-FFFF00000000}"/>
  </bookViews>
  <sheets>
    <sheet name="alldata" sheetId="3" r:id="rId1"/>
    <sheet name="vars" sheetId="11"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K142" i="3" l="1"/>
  <c r="BJ142" i="3"/>
  <c r="BI142" i="3"/>
  <c r="BH142" i="3"/>
  <c r="BG142" i="3"/>
  <c r="BF142" i="3"/>
  <c r="BE142" i="3"/>
  <c r="BD142" i="3"/>
  <c r="BC142" i="3"/>
  <c r="BB142" i="3"/>
  <c r="BA142" i="3"/>
  <c r="AZ142" i="3"/>
  <c r="AY142" i="3"/>
  <c r="AX142" i="3"/>
  <c r="AW142" i="3"/>
  <c r="AV142" i="3"/>
  <c r="AU142" i="3"/>
  <c r="AT142" i="3"/>
  <c r="AS142" i="3"/>
  <c r="AR142" i="3"/>
  <c r="AQ142" i="3"/>
  <c r="AP142" i="3"/>
  <c r="AO142" i="3"/>
  <c r="AN142" i="3"/>
  <c r="AM142" i="3"/>
  <c r="AJ142" i="3"/>
  <c r="AI142" i="3"/>
  <c r="AH142" i="3"/>
  <c r="AG142" i="3"/>
  <c r="AF142" i="3"/>
  <c r="BK141" i="3"/>
  <c r="BJ141" i="3"/>
  <c r="BI141" i="3"/>
  <c r="BH141" i="3"/>
  <c r="BG141" i="3"/>
  <c r="BF141" i="3"/>
  <c r="BE141" i="3"/>
  <c r="BD141" i="3"/>
  <c r="BC141" i="3"/>
  <c r="BB141" i="3"/>
  <c r="BA141" i="3"/>
  <c r="AZ141" i="3"/>
  <c r="AY141" i="3"/>
  <c r="AX141" i="3"/>
  <c r="AW141" i="3"/>
  <c r="AV141" i="3"/>
  <c r="AU141" i="3"/>
  <c r="AT141" i="3"/>
  <c r="AS141" i="3"/>
  <c r="AR141" i="3"/>
  <c r="AQ141" i="3"/>
  <c r="AP141" i="3"/>
  <c r="AO141" i="3"/>
  <c r="AN141" i="3"/>
  <c r="AM141" i="3"/>
  <c r="AJ141" i="3"/>
  <c r="AI141" i="3"/>
  <c r="AH141" i="3"/>
  <c r="AG141" i="3"/>
  <c r="AF141" i="3"/>
  <c r="BK140" i="3"/>
  <c r="BJ140" i="3"/>
  <c r="BI140" i="3"/>
  <c r="BH140" i="3"/>
  <c r="BG140" i="3"/>
  <c r="BF140" i="3"/>
  <c r="BE140" i="3"/>
  <c r="BD140" i="3"/>
  <c r="BC140" i="3"/>
  <c r="BB140" i="3"/>
  <c r="BA140" i="3"/>
  <c r="AZ140" i="3"/>
  <c r="AY140" i="3"/>
  <c r="AX140" i="3"/>
  <c r="AW140" i="3"/>
  <c r="AV140" i="3"/>
  <c r="AU140" i="3"/>
  <c r="AT140" i="3"/>
  <c r="AS140" i="3"/>
  <c r="AR140" i="3"/>
  <c r="AQ140" i="3"/>
  <c r="AP140" i="3"/>
  <c r="AO140" i="3"/>
  <c r="AN140" i="3"/>
  <c r="AM140" i="3"/>
  <c r="AJ140" i="3"/>
  <c r="AI140" i="3"/>
  <c r="AH140" i="3"/>
  <c r="AG140" i="3"/>
  <c r="AF140" i="3"/>
  <c r="BK139" i="3"/>
  <c r="BJ139" i="3"/>
  <c r="BI139" i="3"/>
  <c r="BH139" i="3"/>
  <c r="BG139" i="3"/>
  <c r="BF139" i="3"/>
  <c r="BE139" i="3"/>
  <c r="BD139" i="3"/>
  <c r="BC139" i="3"/>
  <c r="BB139" i="3"/>
  <c r="BA139" i="3"/>
  <c r="AZ139" i="3"/>
  <c r="AY139" i="3"/>
  <c r="AX139" i="3"/>
  <c r="AW139" i="3"/>
  <c r="AV139" i="3"/>
  <c r="AU139" i="3"/>
  <c r="AT139" i="3"/>
  <c r="AS139" i="3"/>
  <c r="AR139" i="3"/>
  <c r="AQ139" i="3"/>
  <c r="AP139" i="3"/>
  <c r="AO139" i="3"/>
  <c r="AN139" i="3"/>
  <c r="AM139" i="3"/>
  <c r="AJ139" i="3"/>
  <c r="AI139" i="3"/>
  <c r="AH139" i="3"/>
  <c r="AG139" i="3"/>
  <c r="AF139" i="3"/>
  <c r="BK138" i="3"/>
  <c r="BJ138" i="3"/>
  <c r="BI138" i="3"/>
  <c r="BH138" i="3"/>
  <c r="BG138" i="3"/>
  <c r="BF138" i="3"/>
  <c r="BE138" i="3"/>
  <c r="BD138" i="3"/>
  <c r="BC138" i="3"/>
  <c r="BB138" i="3"/>
  <c r="BA138" i="3"/>
  <c r="AZ138" i="3"/>
  <c r="AY138" i="3"/>
  <c r="AX138" i="3"/>
  <c r="AW138" i="3"/>
  <c r="AV138" i="3"/>
  <c r="AU138" i="3"/>
  <c r="AT138" i="3"/>
  <c r="AS138" i="3"/>
  <c r="AR138" i="3"/>
  <c r="AQ138" i="3"/>
  <c r="AP138" i="3"/>
  <c r="AO138" i="3"/>
  <c r="AN138" i="3"/>
  <c r="AM138" i="3"/>
  <c r="AJ138" i="3"/>
  <c r="AI138" i="3"/>
  <c r="AH138" i="3"/>
  <c r="AG138" i="3"/>
  <c r="AF138" i="3"/>
  <c r="BK137" i="3"/>
  <c r="BJ137" i="3"/>
  <c r="BI137" i="3"/>
  <c r="BH137" i="3"/>
  <c r="BG137" i="3"/>
  <c r="BF137" i="3"/>
  <c r="BE137" i="3"/>
  <c r="BD137" i="3"/>
  <c r="BC137" i="3"/>
  <c r="BB137" i="3"/>
  <c r="BA137" i="3"/>
  <c r="AZ137" i="3"/>
  <c r="AY137" i="3"/>
  <c r="AX137" i="3"/>
  <c r="AW137" i="3"/>
  <c r="AV137" i="3"/>
  <c r="AU137" i="3"/>
  <c r="AT137" i="3"/>
  <c r="AS137" i="3"/>
  <c r="AR137" i="3"/>
  <c r="AQ137" i="3"/>
  <c r="AP137" i="3"/>
  <c r="AO137" i="3"/>
  <c r="AN137" i="3"/>
  <c r="AM137" i="3"/>
  <c r="AJ137" i="3"/>
  <c r="AI137" i="3"/>
  <c r="AH137" i="3"/>
  <c r="AG137" i="3"/>
  <c r="AF137" i="3"/>
  <c r="BK136" i="3"/>
  <c r="BJ136" i="3"/>
  <c r="BI136" i="3"/>
  <c r="BH136" i="3"/>
  <c r="BG136" i="3"/>
  <c r="BF136" i="3"/>
  <c r="BE136" i="3"/>
  <c r="BD136" i="3"/>
  <c r="BC136" i="3"/>
  <c r="BB136" i="3"/>
  <c r="BA136" i="3"/>
  <c r="AZ136" i="3"/>
  <c r="AY136" i="3"/>
  <c r="AX136" i="3"/>
  <c r="AW136" i="3"/>
  <c r="AV136" i="3"/>
  <c r="AU136" i="3"/>
  <c r="AT136" i="3"/>
  <c r="AS136" i="3"/>
  <c r="AR136" i="3"/>
  <c r="AQ136" i="3"/>
  <c r="AP136" i="3"/>
  <c r="AO136" i="3"/>
  <c r="AN136" i="3"/>
  <c r="AM136" i="3"/>
  <c r="AJ136" i="3"/>
  <c r="AI136" i="3"/>
  <c r="AH136" i="3"/>
  <c r="AG136" i="3"/>
  <c r="AF136" i="3"/>
  <c r="BK135" i="3"/>
  <c r="BJ135" i="3"/>
  <c r="BI135" i="3"/>
  <c r="BH135" i="3"/>
  <c r="BG135" i="3"/>
  <c r="BF135" i="3"/>
  <c r="BE135" i="3"/>
  <c r="BD135" i="3"/>
  <c r="BC135" i="3"/>
  <c r="BB135" i="3"/>
  <c r="BA135" i="3"/>
  <c r="AZ135" i="3"/>
  <c r="AY135" i="3"/>
  <c r="AX135" i="3"/>
  <c r="AW135" i="3"/>
  <c r="AV135" i="3"/>
  <c r="AU135" i="3"/>
  <c r="AT135" i="3"/>
  <c r="AS135" i="3"/>
  <c r="AR135" i="3"/>
  <c r="AQ135" i="3"/>
  <c r="AP135" i="3"/>
  <c r="AO135" i="3"/>
  <c r="AN135" i="3"/>
  <c r="AM135" i="3"/>
  <c r="AJ135" i="3"/>
  <c r="AI135" i="3"/>
  <c r="AH135" i="3"/>
  <c r="AG135" i="3"/>
  <c r="AF135" i="3"/>
  <c r="BK134" i="3"/>
  <c r="BJ134" i="3"/>
  <c r="BI134" i="3"/>
  <c r="BH134" i="3"/>
  <c r="BG134" i="3"/>
  <c r="BF134" i="3"/>
  <c r="BE134" i="3"/>
  <c r="BD134" i="3"/>
  <c r="BC134" i="3"/>
  <c r="BB134" i="3"/>
  <c r="BA134" i="3"/>
  <c r="AZ134" i="3"/>
  <c r="AY134" i="3"/>
  <c r="AX134" i="3"/>
  <c r="AW134" i="3"/>
  <c r="AV134" i="3"/>
  <c r="AU134" i="3"/>
  <c r="AT134" i="3"/>
  <c r="AS134" i="3"/>
  <c r="AR134" i="3"/>
  <c r="AQ134" i="3"/>
  <c r="AP134" i="3"/>
  <c r="AO134" i="3"/>
  <c r="AN134" i="3"/>
  <c r="AM134" i="3"/>
  <c r="AJ134" i="3"/>
  <c r="AI134" i="3"/>
  <c r="AH134" i="3"/>
  <c r="AG134" i="3"/>
  <c r="AF134" i="3"/>
  <c r="BK133" i="3"/>
  <c r="BJ133" i="3"/>
  <c r="BI133" i="3"/>
  <c r="BH133" i="3"/>
  <c r="BG133" i="3"/>
  <c r="BF133" i="3"/>
  <c r="BE133" i="3"/>
  <c r="BD133" i="3"/>
  <c r="BC133" i="3"/>
  <c r="BB133" i="3"/>
  <c r="BA133" i="3"/>
  <c r="AZ133" i="3"/>
  <c r="AY133" i="3"/>
  <c r="AX133" i="3"/>
  <c r="AW133" i="3"/>
  <c r="AV133" i="3"/>
  <c r="AU133" i="3"/>
  <c r="AT133" i="3"/>
  <c r="AS133" i="3"/>
  <c r="AR133" i="3"/>
  <c r="AQ133" i="3"/>
  <c r="AP133" i="3"/>
  <c r="AO133" i="3"/>
  <c r="AN133" i="3"/>
  <c r="AM133" i="3"/>
  <c r="AJ133" i="3"/>
  <c r="AI133" i="3"/>
  <c r="AH133" i="3"/>
  <c r="AG133" i="3"/>
  <c r="AF133" i="3"/>
  <c r="BK132" i="3"/>
  <c r="BJ132" i="3"/>
  <c r="BI132" i="3"/>
  <c r="BH132" i="3"/>
  <c r="BG132" i="3"/>
  <c r="BF132" i="3"/>
  <c r="BE132" i="3"/>
  <c r="BD132" i="3"/>
  <c r="BC132" i="3"/>
  <c r="BB132" i="3"/>
  <c r="BA132" i="3"/>
  <c r="AZ132" i="3"/>
  <c r="AY132" i="3"/>
  <c r="AX132" i="3"/>
  <c r="AW132" i="3"/>
  <c r="AV132" i="3"/>
  <c r="AU132" i="3"/>
  <c r="AT132" i="3"/>
  <c r="AS132" i="3"/>
  <c r="AR132" i="3"/>
  <c r="AQ132" i="3"/>
  <c r="AP132" i="3"/>
  <c r="AO132" i="3"/>
  <c r="AN132" i="3"/>
  <c r="AM132" i="3"/>
  <c r="AJ132" i="3"/>
  <c r="AI132" i="3"/>
  <c r="AH132" i="3"/>
  <c r="AG132" i="3"/>
  <c r="AF132" i="3"/>
  <c r="BK131" i="3"/>
  <c r="BJ131" i="3"/>
  <c r="BI131" i="3"/>
  <c r="BH131" i="3"/>
  <c r="BG131" i="3"/>
  <c r="BF131" i="3"/>
  <c r="BE131" i="3"/>
  <c r="BD131" i="3"/>
  <c r="BC131" i="3"/>
  <c r="BB131" i="3"/>
  <c r="BA131" i="3"/>
  <c r="AZ131" i="3"/>
  <c r="AY131" i="3"/>
  <c r="AX131" i="3"/>
  <c r="AW131" i="3"/>
  <c r="AV131" i="3"/>
  <c r="AU131" i="3"/>
  <c r="AT131" i="3"/>
  <c r="AS131" i="3"/>
  <c r="AR131" i="3"/>
  <c r="AQ131" i="3"/>
  <c r="AP131" i="3"/>
  <c r="AO131" i="3"/>
  <c r="AN131" i="3"/>
  <c r="AM131" i="3"/>
  <c r="AJ131" i="3"/>
  <c r="AI131" i="3"/>
  <c r="AH131" i="3"/>
  <c r="AG131" i="3"/>
  <c r="AF131" i="3"/>
  <c r="BK130" i="3"/>
  <c r="BJ130" i="3"/>
  <c r="BI130" i="3"/>
  <c r="BH130" i="3"/>
  <c r="BG130" i="3"/>
  <c r="BF130" i="3"/>
  <c r="BE130" i="3"/>
  <c r="BD130" i="3"/>
  <c r="BC130" i="3"/>
  <c r="BB130" i="3"/>
  <c r="BA130" i="3"/>
  <c r="AZ130" i="3"/>
  <c r="AY130" i="3"/>
  <c r="AX130" i="3"/>
  <c r="AW130" i="3"/>
  <c r="AV130" i="3"/>
  <c r="AU130" i="3"/>
  <c r="AT130" i="3"/>
  <c r="AS130" i="3"/>
  <c r="AR130" i="3"/>
  <c r="AQ130" i="3"/>
  <c r="AP130" i="3"/>
  <c r="AO130" i="3"/>
  <c r="AN130" i="3"/>
  <c r="AM130" i="3"/>
  <c r="AJ130" i="3"/>
  <c r="AI130" i="3"/>
  <c r="AH130" i="3"/>
  <c r="AG130" i="3"/>
  <c r="AF130" i="3"/>
  <c r="BK129" i="3"/>
  <c r="BJ129" i="3"/>
  <c r="BI129" i="3"/>
  <c r="BH129" i="3"/>
  <c r="BG129" i="3"/>
  <c r="BF129" i="3"/>
  <c r="BE129" i="3"/>
  <c r="BD129" i="3"/>
  <c r="BC129" i="3"/>
  <c r="BB129" i="3"/>
  <c r="BA129" i="3"/>
  <c r="AZ129" i="3"/>
  <c r="AY129" i="3"/>
  <c r="AX129" i="3"/>
  <c r="AW129" i="3"/>
  <c r="AV129" i="3"/>
  <c r="AU129" i="3"/>
  <c r="AT129" i="3"/>
  <c r="AS129" i="3"/>
  <c r="AR129" i="3"/>
  <c r="AQ129" i="3"/>
  <c r="AP129" i="3"/>
  <c r="AO129" i="3"/>
  <c r="AN129" i="3"/>
  <c r="AM129" i="3"/>
  <c r="AJ129" i="3"/>
  <c r="AI129" i="3"/>
  <c r="AH129" i="3"/>
  <c r="AG129" i="3"/>
  <c r="AF129" i="3"/>
  <c r="BK128" i="3"/>
  <c r="BJ128" i="3"/>
  <c r="BI128" i="3"/>
  <c r="BH128" i="3"/>
  <c r="BG128" i="3"/>
  <c r="BF128" i="3"/>
  <c r="BE128" i="3"/>
  <c r="BD128" i="3"/>
  <c r="BC128" i="3"/>
  <c r="BB128" i="3"/>
  <c r="BA128" i="3"/>
  <c r="AZ128" i="3"/>
  <c r="AY128" i="3"/>
  <c r="AX128" i="3"/>
  <c r="AW128" i="3"/>
  <c r="AV128" i="3"/>
  <c r="AU128" i="3"/>
  <c r="AT128" i="3"/>
  <c r="AS128" i="3"/>
  <c r="AR128" i="3"/>
  <c r="AQ128" i="3"/>
  <c r="AP128" i="3"/>
  <c r="AO128" i="3"/>
  <c r="AN128" i="3"/>
  <c r="AM128" i="3"/>
  <c r="AJ128" i="3"/>
  <c r="AI128" i="3"/>
  <c r="AH128" i="3"/>
  <c r="AG128" i="3"/>
  <c r="AF128" i="3"/>
  <c r="BK127" i="3"/>
  <c r="BJ127" i="3"/>
  <c r="BI127" i="3"/>
  <c r="BH127" i="3"/>
  <c r="BG127" i="3"/>
  <c r="BF127" i="3"/>
  <c r="BE127" i="3"/>
  <c r="BD127" i="3"/>
  <c r="BC127" i="3"/>
  <c r="BB127" i="3"/>
  <c r="BA127" i="3"/>
  <c r="AZ127" i="3"/>
  <c r="AY127" i="3"/>
  <c r="AX127" i="3"/>
  <c r="AW127" i="3"/>
  <c r="AV127" i="3"/>
  <c r="AU127" i="3"/>
  <c r="AT127" i="3"/>
  <c r="AS127" i="3"/>
  <c r="AR127" i="3"/>
  <c r="AQ127" i="3"/>
  <c r="AP127" i="3"/>
  <c r="AO127" i="3"/>
  <c r="AN127" i="3"/>
  <c r="AM127" i="3"/>
  <c r="AJ127" i="3"/>
  <c r="AI127" i="3"/>
  <c r="AH127" i="3"/>
  <c r="AG127" i="3"/>
  <c r="AF127" i="3"/>
  <c r="BK126" i="3"/>
  <c r="BJ126" i="3"/>
  <c r="BI126" i="3"/>
  <c r="BH126" i="3"/>
  <c r="BG126" i="3"/>
  <c r="BF126" i="3"/>
  <c r="BE126" i="3"/>
  <c r="BD126" i="3"/>
  <c r="BC126" i="3"/>
  <c r="BB126" i="3"/>
  <c r="BA126" i="3"/>
  <c r="AZ126" i="3"/>
  <c r="AY126" i="3"/>
  <c r="AX126" i="3"/>
  <c r="AW126" i="3"/>
  <c r="AV126" i="3"/>
  <c r="AU126" i="3"/>
  <c r="AT126" i="3"/>
  <c r="AS126" i="3"/>
  <c r="AR126" i="3"/>
  <c r="AQ126" i="3"/>
  <c r="AP126" i="3"/>
  <c r="AO126" i="3"/>
  <c r="AN126" i="3"/>
  <c r="AM126" i="3"/>
  <c r="AJ126" i="3"/>
  <c r="AI126" i="3"/>
  <c r="AH126" i="3"/>
  <c r="AG126" i="3"/>
  <c r="AF126" i="3"/>
  <c r="BK125" i="3"/>
  <c r="BJ125" i="3"/>
  <c r="BI125" i="3"/>
  <c r="BH125" i="3"/>
  <c r="BG125" i="3"/>
  <c r="BF125" i="3"/>
  <c r="BE125" i="3"/>
  <c r="BD125" i="3"/>
  <c r="BC125" i="3"/>
  <c r="BB125" i="3"/>
  <c r="BA125" i="3"/>
  <c r="AZ125" i="3"/>
  <c r="AY125" i="3"/>
  <c r="AX125" i="3"/>
  <c r="AW125" i="3"/>
  <c r="AV125" i="3"/>
  <c r="AU125" i="3"/>
  <c r="AT125" i="3"/>
  <c r="AS125" i="3"/>
  <c r="AR125" i="3"/>
  <c r="AQ125" i="3"/>
  <c r="AP125" i="3"/>
  <c r="AO125" i="3"/>
  <c r="AN125" i="3"/>
  <c r="AM125" i="3"/>
  <c r="AJ125" i="3"/>
  <c r="AI125" i="3"/>
  <c r="AH125" i="3"/>
  <c r="AG125" i="3"/>
  <c r="AF125" i="3"/>
  <c r="BK124" i="3"/>
  <c r="BJ124" i="3"/>
  <c r="BI124" i="3"/>
  <c r="BH124" i="3"/>
  <c r="BG124" i="3"/>
  <c r="BF124" i="3"/>
  <c r="BE124" i="3"/>
  <c r="BD124" i="3"/>
  <c r="BC124" i="3"/>
  <c r="BB124" i="3"/>
  <c r="BA124" i="3"/>
  <c r="AZ124" i="3"/>
  <c r="AY124" i="3"/>
  <c r="AX124" i="3"/>
  <c r="AW124" i="3"/>
  <c r="AV124" i="3"/>
  <c r="AU124" i="3"/>
  <c r="AT124" i="3"/>
  <c r="AS124" i="3"/>
  <c r="AR124" i="3"/>
  <c r="AQ124" i="3"/>
  <c r="AP124" i="3"/>
  <c r="AO124" i="3"/>
  <c r="AN124" i="3"/>
  <c r="AM124" i="3"/>
  <c r="AJ124" i="3"/>
  <c r="AI124" i="3"/>
  <c r="AH124" i="3"/>
  <c r="AG124" i="3"/>
  <c r="AF124" i="3"/>
  <c r="BK123" i="3"/>
  <c r="BJ123" i="3"/>
  <c r="BI123" i="3"/>
  <c r="BH123" i="3"/>
  <c r="BG123" i="3"/>
  <c r="BF123" i="3"/>
  <c r="BE123" i="3"/>
  <c r="BD123" i="3"/>
  <c r="BC123" i="3"/>
  <c r="BB123" i="3"/>
  <c r="BA123" i="3"/>
  <c r="AZ123" i="3"/>
  <c r="AY123" i="3"/>
  <c r="AX123" i="3"/>
  <c r="AW123" i="3"/>
  <c r="AV123" i="3"/>
  <c r="AU123" i="3"/>
  <c r="AT123" i="3"/>
  <c r="AS123" i="3"/>
  <c r="AR123" i="3"/>
  <c r="AQ123" i="3"/>
  <c r="AP123" i="3"/>
  <c r="AO123" i="3"/>
  <c r="AN123" i="3"/>
  <c r="AM123" i="3"/>
  <c r="AJ123" i="3"/>
  <c r="AI123" i="3"/>
  <c r="AH123" i="3"/>
  <c r="AG123" i="3"/>
  <c r="AF123" i="3"/>
  <c r="BK122" i="3"/>
  <c r="BJ122" i="3"/>
  <c r="BI122" i="3"/>
  <c r="BH122" i="3"/>
  <c r="BG122" i="3"/>
  <c r="BF122" i="3"/>
  <c r="BE122" i="3"/>
  <c r="BD122" i="3"/>
  <c r="BC122" i="3"/>
  <c r="BB122" i="3"/>
  <c r="BA122" i="3"/>
  <c r="AZ122" i="3"/>
  <c r="AY122" i="3"/>
  <c r="AX122" i="3"/>
  <c r="AW122" i="3"/>
  <c r="AV122" i="3"/>
  <c r="AU122" i="3"/>
  <c r="AT122" i="3"/>
  <c r="AS122" i="3"/>
  <c r="AR122" i="3"/>
  <c r="AQ122" i="3"/>
  <c r="AP122" i="3"/>
  <c r="AO122" i="3"/>
  <c r="AN122" i="3"/>
  <c r="AM122" i="3"/>
  <c r="AJ122" i="3"/>
  <c r="AI122" i="3"/>
  <c r="AH122" i="3"/>
  <c r="AG122" i="3"/>
  <c r="AF122" i="3"/>
  <c r="BK121" i="3"/>
  <c r="BJ121" i="3"/>
  <c r="BI121" i="3"/>
  <c r="BH121" i="3"/>
  <c r="BG121" i="3"/>
  <c r="BF121" i="3"/>
  <c r="BE121" i="3"/>
  <c r="BD121" i="3"/>
  <c r="BC121" i="3"/>
  <c r="BB121" i="3"/>
  <c r="BA121" i="3"/>
  <c r="AZ121" i="3"/>
  <c r="AY121" i="3"/>
  <c r="AX121" i="3"/>
  <c r="AW121" i="3"/>
  <c r="AV121" i="3"/>
  <c r="AU121" i="3"/>
  <c r="AT121" i="3"/>
  <c r="AS121" i="3"/>
  <c r="AR121" i="3"/>
  <c r="AQ121" i="3"/>
  <c r="AP121" i="3"/>
  <c r="AO121" i="3"/>
  <c r="AN121" i="3"/>
  <c r="AM121" i="3"/>
  <c r="AJ121" i="3"/>
  <c r="AI121" i="3"/>
  <c r="AH121" i="3"/>
  <c r="AG121" i="3"/>
  <c r="AF121" i="3"/>
  <c r="BK120" i="3"/>
  <c r="BJ120" i="3"/>
  <c r="BI120" i="3"/>
  <c r="BH120" i="3"/>
  <c r="BG120" i="3"/>
  <c r="BF120" i="3"/>
  <c r="BE120" i="3"/>
  <c r="BD120" i="3"/>
  <c r="BC120" i="3"/>
  <c r="BB120" i="3"/>
  <c r="BA120" i="3"/>
  <c r="AZ120" i="3"/>
  <c r="AY120" i="3"/>
  <c r="AX120" i="3"/>
  <c r="AW120" i="3"/>
  <c r="AV120" i="3"/>
  <c r="AU120" i="3"/>
  <c r="AT120" i="3"/>
  <c r="AS120" i="3"/>
  <c r="AR120" i="3"/>
  <c r="AQ120" i="3"/>
  <c r="AP120" i="3"/>
  <c r="AO120" i="3"/>
  <c r="AN120" i="3"/>
  <c r="AM120" i="3"/>
  <c r="AJ120" i="3"/>
  <c r="AI120" i="3"/>
  <c r="AH120" i="3"/>
  <c r="AG120" i="3"/>
  <c r="AF120" i="3"/>
  <c r="BK119" i="3"/>
  <c r="BJ119" i="3"/>
  <c r="BI119" i="3"/>
  <c r="BH119" i="3"/>
  <c r="BG119" i="3"/>
  <c r="BF119" i="3"/>
  <c r="BE119" i="3"/>
  <c r="BD119" i="3"/>
  <c r="BC119" i="3"/>
  <c r="BB119" i="3"/>
  <c r="BA119" i="3"/>
  <c r="AZ119" i="3"/>
  <c r="AY119" i="3"/>
  <c r="AX119" i="3"/>
  <c r="AW119" i="3"/>
  <c r="AV119" i="3"/>
  <c r="AU119" i="3"/>
  <c r="AT119" i="3"/>
  <c r="AS119" i="3"/>
  <c r="AR119" i="3"/>
  <c r="AQ119" i="3"/>
  <c r="AP119" i="3"/>
  <c r="AO119" i="3"/>
  <c r="AN119" i="3"/>
  <c r="AM119" i="3"/>
  <c r="AK119" i="3" a="1"/>
  <c r="AK141" i="3" s="1"/>
  <c r="AJ119" i="3"/>
  <c r="AI119" i="3"/>
  <c r="AH119" i="3"/>
  <c r="AG119" i="3"/>
  <c r="AF119" i="3"/>
  <c r="BK118" i="3"/>
  <c r="BJ118" i="3"/>
  <c r="BI118" i="3"/>
  <c r="BH118" i="3"/>
  <c r="BG118" i="3"/>
  <c r="BF118" i="3"/>
  <c r="BE118" i="3"/>
  <c r="BD118" i="3"/>
  <c r="BC118" i="3"/>
  <c r="BB118" i="3"/>
  <c r="BA118" i="3"/>
  <c r="AZ118" i="3"/>
  <c r="AY118" i="3"/>
  <c r="AX118" i="3"/>
  <c r="AW118" i="3"/>
  <c r="AV118" i="3"/>
  <c r="AU118" i="3"/>
  <c r="AT118" i="3"/>
  <c r="AS118" i="3"/>
  <c r="AR118" i="3"/>
  <c r="AQ118" i="3"/>
  <c r="AP118" i="3"/>
  <c r="AO118" i="3"/>
  <c r="AN118" i="3"/>
  <c r="AM118" i="3"/>
  <c r="AJ118" i="3"/>
  <c r="AI118" i="3"/>
  <c r="AH118" i="3"/>
  <c r="AG118" i="3"/>
  <c r="AF118" i="3"/>
  <c r="BK117" i="3"/>
  <c r="BJ117" i="3"/>
  <c r="BI117" i="3"/>
  <c r="BH117" i="3"/>
  <c r="BG117" i="3"/>
  <c r="BF117" i="3"/>
  <c r="BE117" i="3"/>
  <c r="BD117" i="3"/>
  <c r="BC117" i="3"/>
  <c r="BB117" i="3"/>
  <c r="BA117" i="3"/>
  <c r="AZ117" i="3"/>
  <c r="AY117" i="3"/>
  <c r="AX117" i="3"/>
  <c r="AW117" i="3"/>
  <c r="AV117" i="3"/>
  <c r="AU117" i="3"/>
  <c r="AT117" i="3"/>
  <c r="AS117" i="3"/>
  <c r="AR117" i="3"/>
  <c r="AQ117" i="3"/>
  <c r="AP117" i="3"/>
  <c r="AO117" i="3"/>
  <c r="AN117" i="3"/>
  <c r="AM117" i="3"/>
  <c r="AJ117" i="3"/>
  <c r="AI117" i="3"/>
  <c r="AH117" i="3"/>
  <c r="AG117" i="3"/>
  <c r="AF117" i="3"/>
  <c r="BK116" i="3"/>
  <c r="BJ116" i="3"/>
  <c r="BI116" i="3"/>
  <c r="BH116" i="3"/>
  <c r="BG116" i="3"/>
  <c r="BF116" i="3"/>
  <c r="BE116" i="3"/>
  <c r="BD116" i="3"/>
  <c r="BC116" i="3"/>
  <c r="BB116" i="3"/>
  <c r="BA116" i="3"/>
  <c r="AZ116" i="3"/>
  <c r="AY116" i="3"/>
  <c r="AX116" i="3"/>
  <c r="AW116" i="3"/>
  <c r="AV116" i="3"/>
  <c r="AU116" i="3"/>
  <c r="AT116" i="3"/>
  <c r="AS116" i="3"/>
  <c r="AR116" i="3"/>
  <c r="AQ116" i="3"/>
  <c r="AP116" i="3"/>
  <c r="AO116" i="3"/>
  <c r="AN116" i="3"/>
  <c r="AM116" i="3"/>
  <c r="AJ116" i="3"/>
  <c r="AI116" i="3"/>
  <c r="AH116" i="3"/>
  <c r="AG116" i="3"/>
  <c r="AF116" i="3"/>
  <c r="BK115" i="3"/>
  <c r="BJ115" i="3"/>
  <c r="BI115" i="3"/>
  <c r="BH115" i="3"/>
  <c r="BG115" i="3"/>
  <c r="BF115" i="3"/>
  <c r="BE115" i="3"/>
  <c r="BD115" i="3"/>
  <c r="BC115" i="3"/>
  <c r="BB115" i="3"/>
  <c r="BA115" i="3"/>
  <c r="AZ115" i="3"/>
  <c r="AY115" i="3"/>
  <c r="AX115" i="3"/>
  <c r="AW115" i="3"/>
  <c r="AV115" i="3"/>
  <c r="AU115" i="3"/>
  <c r="AT115" i="3"/>
  <c r="AS115" i="3"/>
  <c r="AR115" i="3"/>
  <c r="AQ115" i="3"/>
  <c r="AP115" i="3"/>
  <c r="AO115" i="3"/>
  <c r="AN115" i="3"/>
  <c r="AM115" i="3"/>
  <c r="AJ115" i="3"/>
  <c r="AI115" i="3"/>
  <c r="AH115" i="3"/>
  <c r="AG115" i="3"/>
  <c r="AF115" i="3"/>
  <c r="BK114" i="3"/>
  <c r="BJ114" i="3"/>
  <c r="BI114" i="3"/>
  <c r="BH114" i="3"/>
  <c r="BG114" i="3"/>
  <c r="BF114" i="3"/>
  <c r="BE114" i="3"/>
  <c r="BD114" i="3"/>
  <c r="BC114" i="3"/>
  <c r="BB114" i="3"/>
  <c r="BA114" i="3"/>
  <c r="AZ114" i="3"/>
  <c r="AY114" i="3"/>
  <c r="AX114" i="3"/>
  <c r="AW114" i="3"/>
  <c r="AV114" i="3"/>
  <c r="AU114" i="3"/>
  <c r="AT114" i="3"/>
  <c r="AS114" i="3"/>
  <c r="AR114" i="3"/>
  <c r="AQ114" i="3"/>
  <c r="AP114" i="3"/>
  <c r="AO114" i="3"/>
  <c r="AN114" i="3"/>
  <c r="AM114" i="3"/>
  <c r="AJ114" i="3"/>
  <c r="AI114" i="3"/>
  <c r="AH114" i="3"/>
  <c r="AG114" i="3"/>
  <c r="AF114" i="3"/>
  <c r="BK113" i="3"/>
  <c r="BJ113" i="3"/>
  <c r="BI113" i="3"/>
  <c r="BH113" i="3"/>
  <c r="BG113" i="3"/>
  <c r="BF113" i="3"/>
  <c r="BE113" i="3"/>
  <c r="BD113" i="3"/>
  <c r="BC113" i="3"/>
  <c r="BB113" i="3"/>
  <c r="BA113" i="3"/>
  <c r="AZ113" i="3"/>
  <c r="AY113" i="3"/>
  <c r="AX113" i="3"/>
  <c r="AW113" i="3"/>
  <c r="AV113" i="3"/>
  <c r="AU113" i="3"/>
  <c r="AT113" i="3"/>
  <c r="AS113" i="3"/>
  <c r="AR113" i="3"/>
  <c r="AQ113" i="3"/>
  <c r="AP113" i="3"/>
  <c r="AO113" i="3"/>
  <c r="AN113" i="3"/>
  <c r="AM113" i="3"/>
  <c r="AJ113" i="3"/>
  <c r="AI113" i="3"/>
  <c r="AH113" i="3"/>
  <c r="AG113" i="3"/>
  <c r="AF113" i="3"/>
  <c r="BK112" i="3"/>
  <c r="BJ112" i="3"/>
  <c r="BI112" i="3"/>
  <c r="BH112" i="3"/>
  <c r="BG112" i="3"/>
  <c r="BF112" i="3"/>
  <c r="BE112" i="3"/>
  <c r="BD112" i="3"/>
  <c r="BC112" i="3"/>
  <c r="BB112" i="3"/>
  <c r="BA112" i="3"/>
  <c r="AZ112" i="3"/>
  <c r="AY112" i="3"/>
  <c r="AX112" i="3"/>
  <c r="AW112" i="3"/>
  <c r="AV112" i="3"/>
  <c r="AU112" i="3"/>
  <c r="AT112" i="3"/>
  <c r="AS112" i="3"/>
  <c r="AR112" i="3"/>
  <c r="AQ112" i="3"/>
  <c r="AP112" i="3"/>
  <c r="AO112" i="3"/>
  <c r="AN112" i="3"/>
  <c r="AM112" i="3"/>
  <c r="AJ112" i="3"/>
  <c r="AI112" i="3"/>
  <c r="AH112" i="3"/>
  <c r="AG112" i="3"/>
  <c r="AF112" i="3"/>
  <c r="BK111" i="3"/>
  <c r="BJ111" i="3"/>
  <c r="BI111" i="3"/>
  <c r="BH111" i="3"/>
  <c r="BG111" i="3"/>
  <c r="BF111" i="3"/>
  <c r="BE111" i="3"/>
  <c r="BD111" i="3"/>
  <c r="BC111" i="3"/>
  <c r="BB111" i="3"/>
  <c r="BA111" i="3"/>
  <c r="AZ111" i="3"/>
  <c r="AY111" i="3"/>
  <c r="AX111" i="3"/>
  <c r="AW111" i="3"/>
  <c r="AV111" i="3"/>
  <c r="AU111" i="3"/>
  <c r="AT111" i="3"/>
  <c r="AS111" i="3"/>
  <c r="AR111" i="3"/>
  <c r="AQ111" i="3"/>
  <c r="AP111" i="3"/>
  <c r="AO111" i="3"/>
  <c r="AN111" i="3"/>
  <c r="AM111" i="3"/>
  <c r="AJ111" i="3"/>
  <c r="AI111" i="3"/>
  <c r="AH111" i="3"/>
  <c r="AG111" i="3"/>
  <c r="AF111" i="3"/>
  <c r="BK110" i="3"/>
  <c r="BJ110" i="3"/>
  <c r="BI110" i="3"/>
  <c r="BH110" i="3"/>
  <c r="BG110" i="3"/>
  <c r="BF110" i="3"/>
  <c r="BE110" i="3"/>
  <c r="BD110" i="3"/>
  <c r="BC110" i="3"/>
  <c r="BB110" i="3"/>
  <c r="BA110" i="3"/>
  <c r="AZ110" i="3"/>
  <c r="AY110" i="3"/>
  <c r="AX110" i="3"/>
  <c r="AW110" i="3"/>
  <c r="AV110" i="3"/>
  <c r="AU110" i="3"/>
  <c r="AT110" i="3"/>
  <c r="AS110" i="3"/>
  <c r="AR110" i="3"/>
  <c r="AQ110" i="3"/>
  <c r="AP110" i="3"/>
  <c r="AO110" i="3"/>
  <c r="AN110" i="3"/>
  <c r="AM110" i="3"/>
  <c r="AJ110" i="3"/>
  <c r="AI110" i="3"/>
  <c r="AH110" i="3"/>
  <c r="AG110" i="3"/>
  <c r="AF110" i="3"/>
  <c r="BK109" i="3"/>
  <c r="BJ109" i="3"/>
  <c r="BI109" i="3"/>
  <c r="BH109" i="3"/>
  <c r="BG109" i="3"/>
  <c r="BF109" i="3"/>
  <c r="BE109" i="3"/>
  <c r="BD109" i="3"/>
  <c r="BC109" i="3"/>
  <c r="BB109" i="3"/>
  <c r="BA109" i="3"/>
  <c r="AZ109" i="3"/>
  <c r="AY109" i="3"/>
  <c r="AX109" i="3"/>
  <c r="AW109" i="3"/>
  <c r="AV109" i="3"/>
  <c r="AU109" i="3"/>
  <c r="AT109" i="3"/>
  <c r="AS109" i="3"/>
  <c r="AR109" i="3"/>
  <c r="AQ109" i="3"/>
  <c r="AP109" i="3"/>
  <c r="AO109" i="3"/>
  <c r="AN109" i="3"/>
  <c r="AM109" i="3"/>
  <c r="AK113" i="3"/>
  <c r="AK109" i="3" a="1"/>
  <c r="AK116" i="3" s="1"/>
  <c r="AJ109" i="3"/>
  <c r="AI109" i="3"/>
  <c r="AH109" i="3"/>
  <c r="AG109" i="3"/>
  <c r="AF109" i="3"/>
  <c r="BK108" i="3"/>
  <c r="BJ108" i="3"/>
  <c r="BI108" i="3"/>
  <c r="BH108" i="3"/>
  <c r="BG108" i="3"/>
  <c r="BF108" i="3"/>
  <c r="BE108" i="3"/>
  <c r="BD108" i="3"/>
  <c r="BC108" i="3"/>
  <c r="BB108" i="3"/>
  <c r="BA108" i="3"/>
  <c r="AZ108" i="3"/>
  <c r="AY108" i="3"/>
  <c r="AX108" i="3"/>
  <c r="AW108" i="3"/>
  <c r="AV108" i="3"/>
  <c r="AU108" i="3"/>
  <c r="AT108" i="3"/>
  <c r="AS108" i="3"/>
  <c r="AR108" i="3"/>
  <c r="AQ108" i="3"/>
  <c r="AP108" i="3"/>
  <c r="AO108" i="3"/>
  <c r="AN108" i="3"/>
  <c r="AM108" i="3"/>
  <c r="AJ108" i="3"/>
  <c r="AI108" i="3"/>
  <c r="AH108" i="3"/>
  <c r="AG108" i="3"/>
  <c r="AF108" i="3"/>
  <c r="BK107" i="3"/>
  <c r="BJ107" i="3"/>
  <c r="BI107" i="3"/>
  <c r="BH107" i="3"/>
  <c r="BG107" i="3"/>
  <c r="BF107" i="3"/>
  <c r="BE107" i="3"/>
  <c r="BD107" i="3"/>
  <c r="BC107" i="3"/>
  <c r="BB107" i="3"/>
  <c r="BA107" i="3"/>
  <c r="AZ107" i="3"/>
  <c r="AY107" i="3"/>
  <c r="AX107" i="3"/>
  <c r="AW107" i="3"/>
  <c r="AV107" i="3"/>
  <c r="AU107" i="3"/>
  <c r="AT107" i="3"/>
  <c r="AS107" i="3"/>
  <c r="AR107" i="3"/>
  <c r="AQ107" i="3"/>
  <c r="AP107" i="3"/>
  <c r="AO107" i="3"/>
  <c r="AN107" i="3"/>
  <c r="AM107" i="3"/>
  <c r="AJ107" i="3"/>
  <c r="AI107" i="3"/>
  <c r="AH107" i="3"/>
  <c r="AG107" i="3"/>
  <c r="AF107" i="3"/>
  <c r="BK106" i="3"/>
  <c r="BJ106" i="3"/>
  <c r="BI106" i="3"/>
  <c r="BH106" i="3"/>
  <c r="BG106" i="3"/>
  <c r="BF106" i="3"/>
  <c r="BE106" i="3"/>
  <c r="BD106" i="3"/>
  <c r="BC106" i="3"/>
  <c r="BB106" i="3"/>
  <c r="BA106" i="3"/>
  <c r="AZ106" i="3"/>
  <c r="AY106" i="3"/>
  <c r="AX106" i="3"/>
  <c r="AW106" i="3"/>
  <c r="AV106" i="3"/>
  <c r="AU106" i="3"/>
  <c r="AT106" i="3"/>
  <c r="AS106" i="3"/>
  <c r="AR106" i="3"/>
  <c r="AQ106" i="3"/>
  <c r="AP106" i="3"/>
  <c r="AO106" i="3"/>
  <c r="AN106" i="3"/>
  <c r="AM106" i="3"/>
  <c r="AJ106" i="3"/>
  <c r="AI106" i="3"/>
  <c r="AH106" i="3"/>
  <c r="AG106" i="3"/>
  <c r="AF106" i="3"/>
  <c r="BK105" i="3"/>
  <c r="BJ105" i="3"/>
  <c r="BI105" i="3"/>
  <c r="BH105" i="3"/>
  <c r="BG105" i="3"/>
  <c r="BF105" i="3"/>
  <c r="BE105" i="3"/>
  <c r="BD105" i="3"/>
  <c r="BC105" i="3"/>
  <c r="BB105" i="3"/>
  <c r="BA105" i="3"/>
  <c r="AZ105" i="3"/>
  <c r="AY105" i="3"/>
  <c r="AX105" i="3"/>
  <c r="AW105" i="3"/>
  <c r="AV105" i="3"/>
  <c r="AU105" i="3"/>
  <c r="AT105" i="3"/>
  <c r="AS105" i="3"/>
  <c r="AR105" i="3"/>
  <c r="AQ105" i="3"/>
  <c r="AP105" i="3"/>
  <c r="AO105" i="3"/>
  <c r="AN105" i="3"/>
  <c r="AM105" i="3"/>
  <c r="AJ105" i="3"/>
  <c r="AI105" i="3"/>
  <c r="AH105" i="3"/>
  <c r="AG105" i="3"/>
  <c r="AF105" i="3"/>
  <c r="BK104" i="3"/>
  <c r="BJ104" i="3"/>
  <c r="BI104" i="3"/>
  <c r="BH104" i="3"/>
  <c r="BG104" i="3"/>
  <c r="BF104" i="3"/>
  <c r="BE104" i="3"/>
  <c r="BD104" i="3"/>
  <c r="BC104" i="3"/>
  <c r="BB104" i="3"/>
  <c r="BA104" i="3"/>
  <c r="AZ104" i="3"/>
  <c r="AY104" i="3"/>
  <c r="AX104" i="3"/>
  <c r="AW104" i="3"/>
  <c r="AV104" i="3"/>
  <c r="AU104" i="3"/>
  <c r="AT104" i="3"/>
  <c r="AS104" i="3"/>
  <c r="AR104" i="3"/>
  <c r="AQ104" i="3"/>
  <c r="AP104" i="3"/>
  <c r="AO104" i="3"/>
  <c r="AN104" i="3"/>
  <c r="AM104" i="3"/>
  <c r="AJ104" i="3"/>
  <c r="AI104" i="3"/>
  <c r="AH104" i="3"/>
  <c r="AG104" i="3"/>
  <c r="AF104" i="3"/>
  <c r="BK103" i="3"/>
  <c r="BJ103" i="3"/>
  <c r="BI103" i="3"/>
  <c r="BH103" i="3"/>
  <c r="BG103" i="3"/>
  <c r="BF103" i="3"/>
  <c r="BE103" i="3"/>
  <c r="BD103" i="3"/>
  <c r="BC103" i="3"/>
  <c r="BB103" i="3"/>
  <c r="BA103" i="3"/>
  <c r="AZ103" i="3"/>
  <c r="AY103" i="3"/>
  <c r="AX103" i="3"/>
  <c r="AW103" i="3"/>
  <c r="AV103" i="3"/>
  <c r="AU103" i="3"/>
  <c r="AT103" i="3"/>
  <c r="AS103" i="3"/>
  <c r="AR103" i="3"/>
  <c r="AQ103" i="3"/>
  <c r="AP103" i="3"/>
  <c r="AO103" i="3"/>
  <c r="AN103" i="3"/>
  <c r="AM103" i="3"/>
  <c r="AK103" i="3" a="1"/>
  <c r="AK107" i="3" s="1"/>
  <c r="AJ103" i="3"/>
  <c r="AI103" i="3"/>
  <c r="AH103" i="3"/>
  <c r="AG103" i="3"/>
  <c r="AF103" i="3"/>
  <c r="BK102" i="3"/>
  <c r="BJ102" i="3"/>
  <c r="BI102" i="3"/>
  <c r="BH102" i="3"/>
  <c r="BG102" i="3"/>
  <c r="BF102" i="3"/>
  <c r="BE102" i="3"/>
  <c r="BD102" i="3"/>
  <c r="BC102" i="3"/>
  <c r="BB102" i="3"/>
  <c r="BA102" i="3"/>
  <c r="AZ102" i="3"/>
  <c r="AY102" i="3"/>
  <c r="AX102" i="3"/>
  <c r="AW102" i="3"/>
  <c r="AV102" i="3"/>
  <c r="AU102" i="3"/>
  <c r="AT102" i="3"/>
  <c r="AS102" i="3"/>
  <c r="AR102" i="3"/>
  <c r="AQ102" i="3"/>
  <c r="AP102" i="3"/>
  <c r="AO102" i="3"/>
  <c r="AN102" i="3"/>
  <c r="AM102" i="3"/>
  <c r="AJ102" i="3"/>
  <c r="AI102" i="3"/>
  <c r="AH102" i="3"/>
  <c r="AG102" i="3"/>
  <c r="AF102" i="3"/>
  <c r="BK101" i="3"/>
  <c r="BJ101" i="3"/>
  <c r="BI101" i="3"/>
  <c r="BH101" i="3"/>
  <c r="BG101" i="3"/>
  <c r="BF101" i="3"/>
  <c r="BE101" i="3"/>
  <c r="BD101" i="3"/>
  <c r="BC101" i="3"/>
  <c r="BB101" i="3"/>
  <c r="BA101" i="3"/>
  <c r="AZ101" i="3"/>
  <c r="AY101" i="3"/>
  <c r="AX101" i="3"/>
  <c r="AW101" i="3"/>
  <c r="AV101" i="3"/>
  <c r="AU101" i="3"/>
  <c r="AT101" i="3"/>
  <c r="AS101" i="3"/>
  <c r="AR101" i="3"/>
  <c r="AQ101" i="3"/>
  <c r="AP101" i="3"/>
  <c r="AO101" i="3"/>
  <c r="AN101" i="3"/>
  <c r="AM101" i="3"/>
  <c r="AJ101" i="3"/>
  <c r="AI101" i="3"/>
  <c r="AH101" i="3"/>
  <c r="AG101" i="3"/>
  <c r="AF101" i="3"/>
  <c r="BK100" i="3"/>
  <c r="BJ100" i="3"/>
  <c r="BI100" i="3"/>
  <c r="BH100" i="3"/>
  <c r="BG100" i="3"/>
  <c r="BF100" i="3"/>
  <c r="BE100" i="3"/>
  <c r="BD100" i="3"/>
  <c r="BC100" i="3"/>
  <c r="BB100" i="3"/>
  <c r="BA100" i="3"/>
  <c r="AZ100" i="3"/>
  <c r="AY100" i="3"/>
  <c r="AX100" i="3"/>
  <c r="AW100" i="3"/>
  <c r="AV100" i="3"/>
  <c r="AU100" i="3"/>
  <c r="AT100" i="3"/>
  <c r="AS100" i="3"/>
  <c r="AR100" i="3"/>
  <c r="AQ100" i="3"/>
  <c r="AP100" i="3"/>
  <c r="AO100" i="3"/>
  <c r="AN100" i="3"/>
  <c r="AM100" i="3"/>
  <c r="AJ100" i="3"/>
  <c r="AI100" i="3"/>
  <c r="AH100" i="3"/>
  <c r="AG100" i="3"/>
  <c r="AF100" i="3"/>
  <c r="BK99" i="3"/>
  <c r="BJ99" i="3"/>
  <c r="BI99" i="3"/>
  <c r="BH99" i="3"/>
  <c r="BG99" i="3"/>
  <c r="BF99" i="3"/>
  <c r="BE99" i="3"/>
  <c r="BD99" i="3"/>
  <c r="BC99" i="3"/>
  <c r="BB99" i="3"/>
  <c r="BA99" i="3"/>
  <c r="AZ99" i="3"/>
  <c r="AY99" i="3"/>
  <c r="AX99" i="3"/>
  <c r="AW99" i="3"/>
  <c r="AV99" i="3"/>
  <c r="AU99" i="3"/>
  <c r="AT99" i="3"/>
  <c r="AS99" i="3"/>
  <c r="AR99" i="3"/>
  <c r="AQ99" i="3"/>
  <c r="AP99" i="3"/>
  <c r="AO99" i="3"/>
  <c r="AN99" i="3"/>
  <c r="AM99" i="3"/>
  <c r="AK99" i="3" a="1"/>
  <c r="AK100" i="3" s="1"/>
  <c r="AJ99" i="3"/>
  <c r="AI99" i="3"/>
  <c r="AH99" i="3"/>
  <c r="AG99" i="3"/>
  <c r="AF99" i="3"/>
  <c r="BK98" i="3"/>
  <c r="BJ98" i="3"/>
  <c r="BI98" i="3"/>
  <c r="BH98" i="3"/>
  <c r="BG98" i="3"/>
  <c r="BF98" i="3"/>
  <c r="BE98" i="3"/>
  <c r="BD98" i="3"/>
  <c r="BC98" i="3"/>
  <c r="BB98" i="3"/>
  <c r="BA98" i="3"/>
  <c r="AZ98" i="3"/>
  <c r="AY98" i="3"/>
  <c r="AX98" i="3"/>
  <c r="AW98" i="3"/>
  <c r="AV98" i="3"/>
  <c r="AU98" i="3"/>
  <c r="AT98" i="3"/>
  <c r="AS98" i="3"/>
  <c r="AR98" i="3"/>
  <c r="AQ98" i="3"/>
  <c r="AP98" i="3"/>
  <c r="AO98" i="3"/>
  <c r="AN98" i="3"/>
  <c r="AM98" i="3"/>
  <c r="AK98" i="3" a="1"/>
  <c r="AK98" i="3" s="1"/>
  <c r="AJ98" i="3"/>
  <c r="AI98" i="3"/>
  <c r="AH98" i="3"/>
  <c r="AG98" i="3"/>
  <c r="AF98" i="3"/>
  <c r="BK97" i="3"/>
  <c r="BJ97" i="3"/>
  <c r="BI97" i="3"/>
  <c r="BH97" i="3"/>
  <c r="BG97" i="3"/>
  <c r="BF97" i="3"/>
  <c r="BE97" i="3"/>
  <c r="BD97" i="3"/>
  <c r="BC97" i="3"/>
  <c r="BB97" i="3"/>
  <c r="BA97" i="3"/>
  <c r="AZ97" i="3"/>
  <c r="AY97" i="3"/>
  <c r="AX97" i="3"/>
  <c r="AW97" i="3"/>
  <c r="AV97" i="3"/>
  <c r="AU97" i="3"/>
  <c r="AT97" i="3"/>
  <c r="AS97" i="3"/>
  <c r="AR97" i="3"/>
  <c r="AQ97" i="3"/>
  <c r="AP97" i="3"/>
  <c r="AO97" i="3"/>
  <c r="AN97" i="3"/>
  <c r="AM97" i="3"/>
  <c r="AJ97" i="3"/>
  <c r="AI97" i="3"/>
  <c r="AH97" i="3"/>
  <c r="AG97" i="3"/>
  <c r="AF97" i="3"/>
  <c r="BK96" i="3"/>
  <c r="BJ96" i="3"/>
  <c r="BI96" i="3"/>
  <c r="BH96" i="3"/>
  <c r="BG96" i="3"/>
  <c r="BF96" i="3"/>
  <c r="BE96" i="3"/>
  <c r="BD96" i="3"/>
  <c r="BC96" i="3"/>
  <c r="BB96" i="3"/>
  <c r="BA96" i="3"/>
  <c r="AZ96" i="3"/>
  <c r="AY96" i="3"/>
  <c r="AX96" i="3"/>
  <c r="AW96" i="3"/>
  <c r="AV96" i="3"/>
  <c r="AU96" i="3"/>
  <c r="AT96" i="3"/>
  <c r="AS96" i="3"/>
  <c r="AR96" i="3"/>
  <c r="AQ96" i="3"/>
  <c r="AP96" i="3"/>
  <c r="AO96" i="3"/>
  <c r="AN96" i="3"/>
  <c r="AM96" i="3"/>
  <c r="AK97" i="3"/>
  <c r="AK96" i="3" a="1"/>
  <c r="AK96" i="3" s="1"/>
  <c r="AJ96" i="3"/>
  <c r="AI96" i="3"/>
  <c r="AH96" i="3"/>
  <c r="AG96" i="3"/>
  <c r="AF96" i="3"/>
  <c r="AK108" i="3" l="1"/>
  <c r="AK101" i="3"/>
  <c r="AK114" i="3"/>
  <c r="AK109" i="3"/>
  <c r="AK117" i="3"/>
  <c r="AK104" i="3"/>
  <c r="AK110" i="3"/>
  <c r="AK118" i="3"/>
  <c r="AK122" i="3"/>
  <c r="AK126" i="3"/>
  <c r="AK130" i="3"/>
  <c r="AK134" i="3"/>
  <c r="AK138" i="3"/>
  <c r="AK142" i="3"/>
  <c r="AK119" i="3"/>
  <c r="AK123" i="3"/>
  <c r="AK127" i="3"/>
  <c r="AK131" i="3"/>
  <c r="AK135" i="3"/>
  <c r="AK139" i="3"/>
  <c r="AK120" i="3"/>
  <c r="AK124" i="3"/>
  <c r="AK128" i="3"/>
  <c r="AK132" i="3"/>
  <c r="AK136" i="3"/>
  <c r="AK140" i="3"/>
  <c r="AK121" i="3"/>
  <c r="AK125" i="3"/>
  <c r="AK129" i="3"/>
  <c r="AK133" i="3"/>
  <c r="AK137" i="3"/>
  <c r="AK111" i="3"/>
  <c r="AK115" i="3"/>
  <c r="AK112" i="3"/>
  <c r="AK105" i="3"/>
  <c r="AK106" i="3"/>
  <c r="AK103" i="3"/>
  <c r="AK102" i="3"/>
  <c r="AK99" i="3"/>
  <c r="AY95" i="3" l="1"/>
  <c r="AY94" i="3"/>
  <c r="AY93" i="3"/>
  <c r="AY92" i="3"/>
  <c r="AY91" i="3"/>
  <c r="AY90" i="3"/>
  <c r="AY89" i="3"/>
  <c r="AY88" i="3"/>
  <c r="AY87" i="3"/>
  <c r="AY86" i="3"/>
  <c r="AY85" i="3"/>
  <c r="AY84" i="3"/>
  <c r="AY83" i="3"/>
  <c r="AY82" i="3"/>
  <c r="AY81" i="3"/>
  <c r="AY80" i="3"/>
  <c r="AY79" i="3"/>
  <c r="AY78" i="3"/>
  <c r="AY77" i="3"/>
  <c r="AY76" i="3"/>
  <c r="AY75" i="3"/>
  <c r="AY74" i="3"/>
  <c r="AY73" i="3"/>
  <c r="AY72" i="3"/>
  <c r="AY71" i="3"/>
  <c r="AY70" i="3"/>
  <c r="AY69" i="3"/>
  <c r="AY68" i="3"/>
  <c r="AY67" i="3"/>
  <c r="AY66" i="3"/>
  <c r="AY65" i="3"/>
  <c r="AY64" i="3"/>
  <c r="AY63" i="3"/>
  <c r="AY62" i="3"/>
  <c r="AY61" i="3"/>
  <c r="AY60" i="3"/>
  <c r="AY59" i="3"/>
  <c r="AY58" i="3"/>
  <c r="AY57" i="3"/>
  <c r="AY56" i="3"/>
  <c r="AY55" i="3"/>
  <c r="AY54" i="3"/>
  <c r="AY52" i="3"/>
  <c r="AY51" i="3"/>
  <c r="AY50" i="3"/>
  <c r="AY49" i="3"/>
  <c r="AY48" i="3"/>
  <c r="AY47" i="3"/>
  <c r="AY46" i="3"/>
  <c r="AY44" i="3"/>
  <c r="AY43" i="3"/>
  <c r="AY42" i="3"/>
  <c r="AY41" i="3"/>
  <c r="AY40" i="3"/>
  <c r="AY39" i="3"/>
  <c r="AY38" i="3"/>
  <c r="AY37" i="3"/>
  <c r="AY36" i="3"/>
  <c r="AY35" i="3"/>
  <c r="AY34" i="3"/>
  <c r="AY33" i="3"/>
  <c r="AY32" i="3"/>
  <c r="AY31" i="3"/>
  <c r="AY30" i="3"/>
  <c r="AY29" i="3"/>
  <c r="AY26" i="3"/>
  <c r="AY25" i="3"/>
  <c r="AY24" i="3"/>
  <c r="AY23" i="3"/>
  <c r="AY22" i="3"/>
  <c r="AY21" i="3"/>
  <c r="AY20" i="3"/>
  <c r="AY19" i="3"/>
  <c r="AY18" i="3"/>
  <c r="AY17" i="3"/>
  <c r="AY16" i="3"/>
  <c r="AY15" i="3"/>
  <c r="AY14" i="3"/>
  <c r="AY13" i="3"/>
  <c r="AY12" i="3"/>
  <c r="AY11" i="3"/>
  <c r="AY10" i="3"/>
  <c r="AY9" i="3"/>
  <c r="AY8" i="3"/>
  <c r="AY7" i="3"/>
  <c r="AY6" i="3"/>
  <c r="AY5" i="3"/>
  <c r="AY4" i="3"/>
  <c r="AY3" i="3"/>
  <c r="AY2" i="3"/>
  <c r="S142" i="3" l="1"/>
  <c r="R142" i="3"/>
  <c r="S141" i="3"/>
  <c r="R141" i="3"/>
  <c r="S140" i="3"/>
  <c r="R140" i="3"/>
  <c r="S139" i="3"/>
  <c r="R139" i="3"/>
  <c r="S138" i="3"/>
  <c r="R138" i="3"/>
  <c r="S137" i="3"/>
  <c r="R137" i="3"/>
  <c r="S136" i="3"/>
  <c r="R136" i="3"/>
  <c r="S135" i="3"/>
  <c r="R135" i="3"/>
  <c r="S134" i="3"/>
  <c r="R134" i="3"/>
  <c r="S133" i="3"/>
  <c r="R133" i="3"/>
  <c r="S132" i="3"/>
  <c r="R132" i="3"/>
  <c r="S131" i="3"/>
  <c r="R131" i="3"/>
  <c r="S130" i="3"/>
  <c r="R130" i="3"/>
  <c r="S129" i="3"/>
  <c r="R129" i="3"/>
  <c r="S128" i="3"/>
  <c r="R128" i="3"/>
  <c r="S127" i="3"/>
  <c r="R127" i="3"/>
  <c r="S126" i="3"/>
  <c r="R126" i="3"/>
  <c r="S125" i="3"/>
  <c r="R125" i="3"/>
  <c r="S124" i="3"/>
  <c r="R124" i="3"/>
  <c r="S123" i="3"/>
  <c r="R123" i="3"/>
  <c r="S122" i="3"/>
  <c r="R122" i="3"/>
  <c r="S121" i="3"/>
  <c r="R121" i="3"/>
  <c r="S120" i="3"/>
  <c r="R120" i="3"/>
  <c r="S119" i="3"/>
  <c r="R119" i="3"/>
  <c r="S118" i="3"/>
  <c r="R118" i="3"/>
  <c r="S117" i="3"/>
  <c r="R117" i="3"/>
  <c r="S116" i="3"/>
  <c r="R116" i="3"/>
  <c r="S115" i="3"/>
  <c r="R115" i="3"/>
  <c r="S114" i="3"/>
  <c r="R114" i="3"/>
  <c r="S113" i="3"/>
  <c r="R113" i="3"/>
  <c r="S112" i="3"/>
  <c r="R112" i="3"/>
  <c r="S111" i="3"/>
  <c r="R111" i="3"/>
  <c r="S110" i="3"/>
  <c r="R110" i="3"/>
  <c r="S109" i="3"/>
  <c r="R109" i="3"/>
  <c r="S108" i="3"/>
  <c r="R108" i="3"/>
  <c r="S107" i="3"/>
  <c r="R107" i="3"/>
  <c r="S106" i="3"/>
  <c r="R106" i="3"/>
  <c r="S105" i="3"/>
  <c r="R105" i="3"/>
  <c r="S104" i="3"/>
  <c r="R104" i="3"/>
  <c r="S103" i="3"/>
  <c r="R103" i="3"/>
  <c r="S102" i="3"/>
  <c r="R102" i="3"/>
  <c r="S101" i="3"/>
  <c r="R101" i="3"/>
  <c r="S100" i="3"/>
  <c r="R100" i="3"/>
  <c r="S99" i="3"/>
  <c r="R99" i="3"/>
  <c r="S98" i="3"/>
  <c r="R98" i="3"/>
  <c r="S97" i="3"/>
  <c r="R97" i="3"/>
  <c r="S96" i="3"/>
  <c r="R96" i="3"/>
  <c r="T142" i="3"/>
  <c r="T141" i="3"/>
  <c r="T140" i="3"/>
  <c r="T139" i="3"/>
  <c r="T138" i="3"/>
  <c r="T137" i="3"/>
  <c r="T136" i="3"/>
  <c r="T135" i="3"/>
  <c r="T134" i="3"/>
  <c r="T133" i="3"/>
  <c r="T132" i="3"/>
  <c r="T131" i="3"/>
  <c r="T130" i="3"/>
  <c r="T129" i="3"/>
  <c r="T128" i="3"/>
  <c r="T127" i="3"/>
  <c r="T126" i="3"/>
  <c r="T125" i="3"/>
  <c r="T124" i="3"/>
  <c r="T123" i="3"/>
  <c r="T122" i="3"/>
  <c r="T121" i="3"/>
  <c r="T120" i="3"/>
  <c r="T119" i="3"/>
  <c r="T118" i="3"/>
  <c r="T117" i="3"/>
  <c r="T116" i="3"/>
  <c r="T115" i="3"/>
  <c r="T114" i="3"/>
  <c r="T113" i="3"/>
  <c r="T112" i="3"/>
  <c r="T111" i="3"/>
  <c r="T110" i="3"/>
  <c r="T109" i="3"/>
  <c r="T108" i="3"/>
  <c r="T107" i="3"/>
  <c r="T106" i="3"/>
  <c r="T105" i="3"/>
  <c r="T104" i="3"/>
  <c r="T103" i="3"/>
  <c r="T102" i="3"/>
  <c r="T101" i="3"/>
  <c r="T100" i="3"/>
  <c r="T99" i="3"/>
  <c r="T98" i="3"/>
  <c r="T97" i="3"/>
  <c r="T96" i="3"/>
  <c r="P141" i="3"/>
  <c r="P140" i="3"/>
  <c r="P131" i="3"/>
  <c r="P130" i="3"/>
  <c r="P129" i="3"/>
  <c r="P128" i="3"/>
  <c r="P123" i="3"/>
  <c r="P120" i="3"/>
  <c r="P119" i="3"/>
  <c r="P118" i="3"/>
  <c r="P117" i="3"/>
  <c r="P114" i="3"/>
  <c r="P112" i="3"/>
  <c r="P111" i="3"/>
  <c r="P109" i="3"/>
  <c r="P103" i="3"/>
  <c r="P99" i="3"/>
  <c r="P98" i="3"/>
  <c r="H142" i="3"/>
  <c r="G142" i="3"/>
  <c r="H141" i="3"/>
  <c r="G141" i="3"/>
  <c r="H140" i="3"/>
  <c r="G140" i="3"/>
  <c r="H139" i="3"/>
  <c r="G139" i="3"/>
  <c r="H138" i="3"/>
  <c r="G138" i="3"/>
  <c r="H137" i="3"/>
  <c r="G137" i="3"/>
  <c r="H136" i="3"/>
  <c r="G136" i="3"/>
  <c r="H135" i="3"/>
  <c r="G135" i="3"/>
  <c r="H134" i="3"/>
  <c r="G134" i="3"/>
  <c r="H133" i="3"/>
  <c r="G133" i="3"/>
  <c r="H132" i="3"/>
  <c r="G132" i="3"/>
  <c r="H131" i="3"/>
  <c r="G131" i="3"/>
  <c r="H130" i="3"/>
  <c r="G130" i="3"/>
  <c r="H129" i="3"/>
  <c r="G129" i="3"/>
  <c r="H128" i="3"/>
  <c r="G128" i="3"/>
  <c r="H127" i="3"/>
  <c r="G127" i="3"/>
  <c r="H126" i="3"/>
  <c r="G126" i="3"/>
  <c r="H125" i="3"/>
  <c r="G125" i="3"/>
  <c r="H124" i="3"/>
  <c r="G124" i="3"/>
  <c r="H123" i="3"/>
  <c r="G123" i="3"/>
  <c r="H122" i="3"/>
  <c r="G122" i="3"/>
  <c r="H121" i="3"/>
  <c r="G121" i="3"/>
  <c r="H120" i="3"/>
  <c r="G120" i="3"/>
  <c r="H119" i="3"/>
  <c r="G119" i="3"/>
  <c r="H118" i="3"/>
  <c r="G118" i="3"/>
  <c r="H117" i="3"/>
  <c r="G117" i="3"/>
  <c r="H116" i="3"/>
  <c r="G116" i="3"/>
  <c r="H115" i="3"/>
  <c r="G115" i="3"/>
  <c r="H114" i="3"/>
  <c r="G114" i="3"/>
  <c r="H113" i="3"/>
  <c r="G113" i="3"/>
  <c r="H112" i="3"/>
  <c r="G112" i="3"/>
  <c r="H111" i="3"/>
  <c r="G111" i="3"/>
  <c r="H110" i="3"/>
  <c r="G110" i="3"/>
  <c r="H109" i="3"/>
  <c r="G109" i="3"/>
  <c r="H108" i="3"/>
  <c r="G108" i="3"/>
  <c r="H107" i="3"/>
  <c r="G107" i="3"/>
  <c r="H106" i="3"/>
  <c r="G106" i="3"/>
  <c r="H105" i="3"/>
  <c r="G105" i="3"/>
  <c r="H104" i="3"/>
  <c r="G104" i="3"/>
  <c r="H103" i="3"/>
  <c r="G103" i="3"/>
  <c r="H102" i="3"/>
  <c r="G102" i="3"/>
  <c r="H101" i="3"/>
  <c r="G101" i="3"/>
  <c r="H100" i="3"/>
  <c r="G100" i="3"/>
  <c r="H99" i="3"/>
  <c r="G99" i="3"/>
  <c r="H98" i="3"/>
  <c r="G98" i="3"/>
  <c r="H97" i="3"/>
  <c r="G97" i="3"/>
  <c r="H96" i="3"/>
  <c r="G96" i="3"/>
  <c r="B142" i="3"/>
  <c r="B141" i="3"/>
  <c r="B140" i="3"/>
  <c r="B139" i="3"/>
  <c r="B138" i="3"/>
  <c r="B137" i="3"/>
  <c r="B136" i="3"/>
  <c r="B135" i="3"/>
  <c r="B134" i="3"/>
  <c r="B133" i="3"/>
  <c r="B132" i="3"/>
  <c r="B131" i="3"/>
  <c r="B130" i="3"/>
  <c r="B129" i="3"/>
  <c r="B128" i="3"/>
  <c r="B127" i="3"/>
  <c r="B126" i="3"/>
  <c r="B125" i="3"/>
  <c r="B124" i="3"/>
  <c r="B123" i="3"/>
  <c r="B122" i="3"/>
  <c r="B121" i="3"/>
  <c r="B120" i="3"/>
  <c r="B119" i="3"/>
  <c r="B118" i="3"/>
  <c r="B117" i="3"/>
  <c r="B116" i="3"/>
  <c r="B115" i="3"/>
  <c r="B114" i="3"/>
  <c r="B113" i="3"/>
  <c r="B112" i="3"/>
  <c r="B111" i="3"/>
  <c r="B110" i="3"/>
  <c r="B109" i="3"/>
  <c r="B108" i="3"/>
  <c r="B107" i="3"/>
  <c r="B106" i="3"/>
  <c r="B105" i="3"/>
  <c r="B104" i="3"/>
  <c r="B103" i="3"/>
  <c r="B102" i="3"/>
  <c r="B101" i="3"/>
  <c r="B100" i="3"/>
  <c r="B99" i="3"/>
  <c r="B98" i="3"/>
  <c r="B97" i="3"/>
  <c r="B96" i="3"/>
  <c r="V3" i="3"/>
  <c r="V4" i="3"/>
  <c r="V5" i="3"/>
  <c r="V6" i="3"/>
  <c r="V7" i="3"/>
  <c r="V8" i="3"/>
  <c r="V9" i="3"/>
  <c r="V10" i="3"/>
  <c r="V11" i="3"/>
  <c r="V12" i="3"/>
  <c r="V13" i="3"/>
  <c r="V14" i="3"/>
  <c r="V15" i="3"/>
  <c r="V16" i="3"/>
  <c r="V17" i="3"/>
  <c r="V18" i="3"/>
  <c r="V19" i="3"/>
  <c r="V20" i="3"/>
  <c r="V21" i="3"/>
  <c r="V22" i="3"/>
  <c r="V23" i="3"/>
  <c r="V24" i="3"/>
  <c r="V25" i="3"/>
  <c r="V26" i="3"/>
  <c r="V27" i="3"/>
  <c r="V28" i="3"/>
  <c r="V29" i="3"/>
  <c r="V30" i="3"/>
  <c r="V31" i="3"/>
  <c r="V32" i="3"/>
  <c r="V33" i="3"/>
  <c r="V34" i="3"/>
  <c r="V35" i="3"/>
  <c r="V36" i="3"/>
  <c r="V37" i="3"/>
  <c r="V38" i="3"/>
  <c r="V39" i="3"/>
  <c r="V40" i="3"/>
  <c r="V41" i="3"/>
  <c r="V42" i="3"/>
  <c r="V43" i="3"/>
  <c r="V44" i="3"/>
  <c r="V45" i="3"/>
  <c r="V46" i="3"/>
  <c r="V47" i="3"/>
  <c r="V48" i="3"/>
  <c r="V49" i="3"/>
  <c r="V50" i="3"/>
  <c r="V51" i="3"/>
  <c r="V52" i="3"/>
  <c r="V53" i="3"/>
  <c r="V54" i="3"/>
  <c r="V55" i="3"/>
  <c r="V56" i="3"/>
  <c r="V57" i="3"/>
  <c r="V58" i="3"/>
  <c r="V59" i="3"/>
  <c r="V60" i="3"/>
  <c r="V61" i="3"/>
  <c r="V62" i="3"/>
  <c r="V63" i="3"/>
  <c r="V64" i="3"/>
  <c r="V65" i="3"/>
  <c r="V66" i="3"/>
  <c r="V67" i="3"/>
  <c r="V68" i="3"/>
  <c r="V69" i="3"/>
  <c r="V70" i="3"/>
  <c r="V71" i="3"/>
  <c r="V72" i="3"/>
  <c r="V73" i="3"/>
  <c r="V74" i="3"/>
  <c r="V75" i="3"/>
  <c r="V76" i="3"/>
  <c r="V77" i="3"/>
  <c r="V78" i="3"/>
  <c r="V79" i="3"/>
  <c r="V80" i="3"/>
  <c r="V81" i="3"/>
  <c r="V82" i="3"/>
  <c r="V83" i="3"/>
  <c r="V84" i="3"/>
  <c r="V85" i="3"/>
  <c r="V86" i="3"/>
  <c r="V87" i="3"/>
  <c r="V88" i="3"/>
  <c r="V89" i="3"/>
  <c r="V90" i="3"/>
  <c r="V91" i="3"/>
  <c r="V92" i="3"/>
  <c r="V93" i="3"/>
  <c r="V94" i="3"/>
  <c r="V95" i="3"/>
  <c r="V2" i="3"/>
  <c r="C3" i="3"/>
  <c r="C4" i="3" s="1"/>
  <c r="C5" i="3" s="1"/>
  <c r="C6" i="3" s="1"/>
  <c r="C7" i="3" s="1"/>
  <c r="C8" i="3" s="1"/>
  <c r="C9" i="3" s="1"/>
  <c r="C10" i="3" s="1"/>
  <c r="C11" i="3" s="1"/>
  <c r="C12" i="3" s="1"/>
  <c r="C13" i="3" s="1"/>
  <c r="C14" i="3" s="1"/>
  <c r="C15" i="3" s="1"/>
  <c r="C16" i="3" s="1"/>
  <c r="C17" i="3" s="1"/>
  <c r="C18" i="3" s="1"/>
  <c r="C19" i="3" s="1"/>
  <c r="C20" i="3" s="1"/>
  <c r="C21" i="3" s="1"/>
  <c r="C22" i="3" s="1"/>
  <c r="C23" i="3" s="1"/>
  <c r="C24" i="3" s="1"/>
  <c r="C25" i="3" s="1"/>
  <c r="C26" i="3" s="1"/>
  <c r="C27" i="3" s="1"/>
  <c r="C28" i="3" s="1"/>
  <c r="C29" i="3" s="1"/>
  <c r="C30" i="3" s="1"/>
  <c r="C31" i="3" s="1"/>
  <c r="C32" i="3" s="1"/>
  <c r="C33" i="3" s="1"/>
  <c r="C34" i="3" s="1"/>
  <c r="C35" i="3" s="1"/>
  <c r="C36" i="3" s="1"/>
  <c r="C37" i="3" s="1"/>
  <c r="C38" i="3" s="1"/>
  <c r="C39" i="3" s="1"/>
  <c r="C40" i="3" s="1"/>
  <c r="C41" i="3" s="1"/>
  <c r="C42" i="3" s="1"/>
  <c r="C43" i="3" s="1"/>
  <c r="C44" i="3" s="1"/>
  <c r="C45" i="3" s="1"/>
  <c r="C46" i="3" s="1"/>
  <c r="C47" i="3" s="1"/>
  <c r="C48" i="3" s="1"/>
  <c r="C49" i="3" s="1"/>
  <c r="C50" i="3" s="1"/>
  <c r="C51" i="3" s="1"/>
  <c r="C52" i="3" s="1"/>
  <c r="C53" i="3" s="1"/>
  <c r="C54" i="3" s="1"/>
  <c r="C55" i="3" s="1"/>
  <c r="C56" i="3" s="1"/>
  <c r="C57" i="3" s="1"/>
  <c r="C58" i="3" s="1"/>
  <c r="C59" i="3" s="1"/>
  <c r="C60" i="3" s="1"/>
  <c r="C61" i="3" s="1"/>
  <c r="C62" i="3" s="1"/>
  <c r="C63" i="3" s="1"/>
  <c r="C64" i="3" s="1"/>
  <c r="C65" i="3" s="1"/>
  <c r="C66" i="3" s="1"/>
  <c r="C67" i="3" s="1"/>
  <c r="C68" i="3" s="1"/>
  <c r="C69" i="3" s="1"/>
  <c r="C70" i="3" s="1"/>
  <c r="C71" i="3" s="1"/>
  <c r="C72" i="3" s="1"/>
  <c r="C73" i="3" s="1"/>
  <c r="C74" i="3" s="1"/>
  <c r="C75" i="3" s="1"/>
  <c r="C76" i="3" s="1"/>
  <c r="C77" i="3" s="1"/>
  <c r="C78" i="3" s="1"/>
  <c r="C79" i="3" s="1"/>
  <c r="C80" i="3" s="1"/>
  <c r="C81" i="3" s="1"/>
  <c r="C82" i="3" s="1"/>
  <c r="C83" i="3" s="1"/>
  <c r="C84" i="3" s="1"/>
  <c r="C85" i="3" s="1"/>
  <c r="C86" i="3" s="1"/>
  <c r="C87" i="3" s="1"/>
  <c r="C88" i="3" s="1"/>
  <c r="C89" i="3" s="1"/>
  <c r="C90" i="3" s="1"/>
  <c r="C91" i="3" s="1"/>
  <c r="C92" i="3" s="1"/>
  <c r="C93" i="3" s="1"/>
  <c r="C94" i="3" s="1"/>
  <c r="C95" i="3" s="1"/>
  <c r="C96" i="3" s="1"/>
  <c r="C97" i="3" s="1"/>
  <c r="C98" i="3" s="1"/>
  <c r="C99" i="3" s="1"/>
  <c r="C100" i="3" s="1"/>
  <c r="C101" i="3" s="1"/>
  <c r="C102" i="3" s="1"/>
  <c r="C103" i="3" s="1"/>
  <c r="C104" i="3" s="1"/>
  <c r="C105" i="3" s="1"/>
  <c r="C106" i="3" s="1"/>
  <c r="C107" i="3" s="1"/>
  <c r="C108" i="3" s="1"/>
  <c r="C109" i="3" s="1"/>
  <c r="C110" i="3" s="1"/>
  <c r="C111" i="3" s="1"/>
  <c r="C112" i="3" s="1"/>
  <c r="C113" i="3" s="1"/>
  <c r="C114" i="3" s="1"/>
  <c r="C115" i="3" s="1"/>
  <c r="C116" i="3" s="1"/>
  <c r="C117" i="3" s="1"/>
  <c r="C118" i="3" s="1"/>
  <c r="C119" i="3" s="1"/>
  <c r="C120" i="3" s="1"/>
  <c r="C121" i="3" s="1"/>
  <c r="C122" i="3" s="1"/>
  <c r="C123" i="3" s="1"/>
  <c r="C124" i="3" s="1"/>
  <c r="C125" i="3" s="1"/>
  <c r="C126" i="3" s="1"/>
  <c r="C127" i="3" s="1"/>
  <c r="C128" i="3" s="1"/>
  <c r="C129" i="3" s="1"/>
  <c r="C130" i="3" s="1"/>
  <c r="C131" i="3" s="1"/>
  <c r="C132" i="3" s="1"/>
  <c r="C133" i="3" s="1"/>
  <c r="C134" i="3" s="1"/>
  <c r="C135" i="3" s="1"/>
  <c r="C136" i="3" s="1"/>
  <c r="C137" i="3" s="1"/>
  <c r="C138" i="3" s="1"/>
  <c r="C139" i="3" s="1"/>
  <c r="C140" i="3" s="1"/>
  <c r="C141" i="3" s="1"/>
  <c r="C142" i="3" s="1"/>
  <c r="V97" i="3" l="1"/>
  <c r="V99" i="3"/>
  <c r="V101" i="3"/>
  <c r="V103" i="3"/>
  <c r="V105" i="3"/>
  <c r="V107" i="3"/>
  <c r="V119" i="3"/>
  <c r="V121" i="3"/>
  <c r="V123" i="3"/>
  <c r="V125" i="3"/>
  <c r="V127" i="3"/>
  <c r="V129" i="3"/>
  <c r="V131" i="3"/>
  <c r="V133" i="3"/>
  <c r="V135" i="3"/>
  <c r="V137" i="3"/>
  <c r="V139" i="3"/>
  <c r="V110" i="3"/>
  <c r="V112" i="3"/>
  <c r="V114" i="3"/>
  <c r="V116" i="3"/>
  <c r="V118" i="3"/>
  <c r="V141" i="3"/>
  <c r="V96" i="3"/>
  <c r="V98" i="3"/>
  <c r="V100" i="3"/>
  <c r="V102" i="3"/>
  <c r="V104" i="3"/>
  <c r="V106" i="3"/>
  <c r="V108" i="3"/>
  <c r="V109" i="3"/>
  <c r="V111" i="3"/>
  <c r="V113" i="3"/>
  <c r="V115" i="3"/>
  <c r="V117" i="3"/>
  <c r="V120" i="3"/>
  <c r="V122" i="3"/>
  <c r="V124" i="3"/>
  <c r="V126" i="3"/>
  <c r="V128" i="3"/>
  <c r="V130" i="3"/>
  <c r="V132" i="3"/>
  <c r="V134" i="3"/>
  <c r="V136" i="3"/>
  <c r="V138" i="3"/>
  <c r="V140" i="3"/>
  <c r="V14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Sarah Crosby</author>
  </authors>
  <commentList>
    <comment ref="P1" authorId="0" shapeId="0" xr:uid="{00000000-0006-0000-0000-000002000000}">
      <text>
        <r>
          <rPr>
            <b/>
            <sz val="9"/>
            <color rgb="FF000000"/>
            <rFont val="Tahoma"/>
            <family val="2"/>
          </rPr>
          <t>Sarah Crosby:</t>
        </r>
        <r>
          <rPr>
            <sz val="9"/>
            <color rgb="FF000000"/>
            <rFont val="Tahoma"/>
            <family val="2"/>
          </rPr>
          <t xml:space="preserve">
</t>
        </r>
        <r>
          <rPr>
            <sz val="9"/>
            <color rgb="FF000000"/>
            <rFont val="Tahoma"/>
            <family val="2"/>
          </rPr>
          <t>in [Meters] : for COPE+UBC</t>
        </r>
      </text>
    </comment>
    <comment ref="R1" authorId="0" shapeId="0" xr:uid="{00000000-0006-0000-0000-000007000000}">
      <text>
        <r>
          <rPr>
            <b/>
            <sz val="9"/>
            <color rgb="FF000000"/>
            <rFont val="Tahoma"/>
            <family val="2"/>
          </rPr>
          <t>Sarah Crosby:</t>
        </r>
        <r>
          <rPr>
            <sz val="9"/>
            <color rgb="FF000000"/>
            <rFont val="Tahoma"/>
            <family val="2"/>
          </rPr>
          <t xml:space="preserve">
</t>
        </r>
        <r>
          <rPr>
            <sz val="9"/>
            <color rgb="FF000000"/>
            <rFont val="Tahoma"/>
            <family val="2"/>
          </rPr>
          <t>Horizonal Lux Meas (Left)-UBC</t>
        </r>
      </text>
    </comment>
    <comment ref="S1" authorId="0" shapeId="0" xr:uid="{00000000-0006-0000-0000-000008000000}">
      <text>
        <r>
          <rPr>
            <b/>
            <sz val="9"/>
            <color rgb="FF000000"/>
            <rFont val="Tahoma"/>
            <family val="2"/>
          </rPr>
          <t>Sarah Crosby:</t>
        </r>
        <r>
          <rPr>
            <sz val="9"/>
            <color rgb="FF000000"/>
            <rFont val="Tahoma"/>
            <family val="2"/>
          </rPr>
          <t xml:space="preserve">
</t>
        </r>
        <r>
          <rPr>
            <sz val="9"/>
            <color rgb="FF000000"/>
            <rFont val="Tahoma"/>
            <family val="2"/>
          </rPr>
          <t>Horizonal Lux Meas (Right)-UBC</t>
        </r>
      </text>
    </comment>
    <comment ref="T1" authorId="0" shapeId="0" xr:uid="{00000000-0006-0000-0000-000009000000}">
      <text>
        <r>
          <rPr>
            <b/>
            <sz val="9"/>
            <color rgb="FF000000"/>
            <rFont val="Tahoma"/>
            <family val="2"/>
          </rPr>
          <t>Sarah Crosby:</t>
        </r>
        <r>
          <rPr>
            <sz val="9"/>
            <color rgb="FF000000"/>
            <rFont val="Tahoma"/>
            <family val="2"/>
          </rPr>
          <t xml:space="preserve">
</t>
        </r>
        <r>
          <rPr>
            <sz val="9"/>
            <color rgb="FF000000"/>
            <rFont val="Tahoma"/>
            <family val="2"/>
          </rPr>
          <t>Vertical (Computer Screen) Lux Meas.-UBC</t>
        </r>
      </text>
    </comment>
    <comment ref="V1" authorId="0" shapeId="0" xr:uid="{00000000-0006-0000-0000-00000A000000}">
      <text>
        <r>
          <rPr>
            <b/>
            <sz val="9"/>
            <color rgb="FF000000"/>
            <rFont val="Tahoma"/>
            <family val="2"/>
          </rPr>
          <t>Sarah Crosby:</t>
        </r>
        <r>
          <rPr>
            <sz val="9"/>
            <color rgb="FF000000"/>
            <rFont val="Tahoma"/>
            <family val="2"/>
          </rPr>
          <t xml:space="preserve">
</t>
        </r>
        <r>
          <rPr>
            <sz val="9"/>
            <color rgb="FF000000"/>
            <rFont val="Tahoma"/>
            <family val="2"/>
          </rPr>
          <t xml:space="preserve">For COPE : Lux is the average of 4 horizontal meas.
</t>
        </r>
        <r>
          <rPr>
            <sz val="9"/>
            <color rgb="FF000000"/>
            <rFont val="Tahoma"/>
            <family val="2"/>
          </rPr>
          <t>For UBC: Lux is the average of the horizontal meas. only</t>
        </r>
      </text>
    </comment>
    <comment ref="X1" authorId="0" shapeId="0" xr:uid="{00000000-0006-0000-0000-00000B000000}">
      <text>
        <r>
          <rPr>
            <b/>
            <sz val="9"/>
            <color indexed="81"/>
            <rFont val="Tahoma"/>
            <family val="2"/>
          </rPr>
          <t>Sarah Crosby:</t>
        </r>
        <r>
          <rPr>
            <sz val="9"/>
            <color indexed="81"/>
            <rFont val="Tahoma"/>
            <family val="2"/>
          </rPr>
          <t xml:space="preserve">
UBC</t>
        </r>
      </text>
    </comment>
    <comment ref="Y1" authorId="0" shapeId="0" xr:uid="{00000000-0006-0000-0000-00000C000000}">
      <text>
        <r>
          <rPr>
            <b/>
            <sz val="9"/>
            <color indexed="81"/>
            <rFont val="Tahoma"/>
            <family val="2"/>
          </rPr>
          <t>Sarah Crosby:</t>
        </r>
        <r>
          <rPr>
            <sz val="9"/>
            <color indexed="81"/>
            <rFont val="Tahoma"/>
            <family val="2"/>
          </rPr>
          <t xml:space="preserve">
UBC</t>
        </r>
      </text>
    </comment>
    <comment ref="Z1" authorId="0" shapeId="0" xr:uid="{00000000-0006-0000-0000-00000D000000}">
      <text>
        <r>
          <rPr>
            <b/>
            <sz val="9"/>
            <color indexed="81"/>
            <rFont val="Tahoma"/>
            <family val="2"/>
          </rPr>
          <t>Sarah Crosby:</t>
        </r>
        <r>
          <rPr>
            <sz val="9"/>
            <color indexed="81"/>
            <rFont val="Tahoma"/>
            <family val="2"/>
          </rPr>
          <t xml:space="preserve">
UBC
</t>
        </r>
      </text>
    </comment>
    <comment ref="AA1" authorId="0" shapeId="0" xr:uid="{00000000-0006-0000-0000-00000E000000}">
      <text>
        <r>
          <rPr>
            <b/>
            <sz val="9"/>
            <color indexed="81"/>
            <rFont val="Tahoma"/>
            <family val="2"/>
          </rPr>
          <t>Sarah Crosby:</t>
        </r>
        <r>
          <rPr>
            <sz val="9"/>
            <color indexed="81"/>
            <rFont val="Tahoma"/>
            <family val="2"/>
          </rPr>
          <t xml:space="preserve">
UBC</t>
        </r>
      </text>
    </comment>
    <comment ref="AB1" authorId="0" shapeId="0" xr:uid="{00000000-0006-0000-0000-00000F000000}">
      <text>
        <r>
          <rPr>
            <b/>
            <sz val="9"/>
            <color indexed="81"/>
            <rFont val="Tahoma"/>
            <family val="2"/>
          </rPr>
          <t>Sarah Crosby:</t>
        </r>
        <r>
          <rPr>
            <sz val="9"/>
            <color indexed="81"/>
            <rFont val="Tahoma"/>
            <family val="2"/>
          </rPr>
          <t xml:space="preserve">
UBC</t>
        </r>
      </text>
    </comment>
    <comment ref="AD1" authorId="0" shapeId="0" xr:uid="{00000000-0006-0000-0000-000010000000}">
      <text>
        <r>
          <rPr>
            <b/>
            <sz val="9"/>
            <color indexed="81"/>
            <rFont val="Tahoma"/>
            <family val="2"/>
          </rPr>
          <t>Sarah Crosby:</t>
        </r>
        <r>
          <rPr>
            <sz val="9"/>
            <color indexed="81"/>
            <rFont val="Tahoma"/>
            <family val="2"/>
          </rPr>
          <t xml:space="preserve">
Satisfaction with thermal conditions</t>
        </r>
      </text>
    </comment>
    <comment ref="F2" authorId="0" shapeId="0" xr:uid="{00000000-0006-0000-0000-000011000000}">
      <text>
        <r>
          <rPr>
            <b/>
            <sz val="9"/>
            <color indexed="81"/>
            <rFont val="Tahoma"/>
            <family val="2"/>
          </rPr>
          <t>Sarah Crosby:</t>
        </r>
        <r>
          <rPr>
            <sz val="9"/>
            <color indexed="81"/>
            <rFont val="Tahoma"/>
            <family val="2"/>
          </rPr>
          <t xml:space="preserve">
Start of UBC Summer Data
</t>
        </r>
      </text>
    </comment>
  </commentList>
</comments>
</file>

<file path=xl/sharedStrings.xml><?xml version="1.0" encoding="utf-8"?>
<sst xmlns="http://schemas.openxmlformats.org/spreadsheetml/2006/main" count="3579" uniqueCount="570">
  <si>
    <t>TEMP</t>
  </si>
  <si>
    <t>Values</t>
  </si>
  <si>
    <t>Name / Definition / Explanation</t>
  </si>
  <si>
    <t>Worksheet</t>
  </si>
  <si>
    <t>alldata</t>
  </si>
  <si>
    <t>WSID</t>
  </si>
  <si>
    <t>AGE</t>
  </si>
  <si>
    <t>HEADPH</t>
  </si>
  <si>
    <t>SAT_PRIV</t>
  </si>
  <si>
    <t>SAT_AIR</t>
  </si>
  <si>
    <t>SAT_LIGHT</t>
  </si>
  <si>
    <t>GENDER</t>
  </si>
  <si>
    <t>Temp</t>
  </si>
  <si>
    <t>ORG#</t>
  </si>
  <si>
    <t>building#</t>
  </si>
  <si>
    <t>1</t>
  </si>
  <si>
    <t>W</t>
  </si>
  <si>
    <t>Comments</t>
  </si>
  <si>
    <t>Lux</t>
  </si>
  <si>
    <t>CIRS</t>
  </si>
  <si>
    <t>Date-Time</t>
  </si>
  <si>
    <t>UBC_ID</t>
  </si>
  <si>
    <t>D00100</t>
  </si>
  <si>
    <t>C00110</t>
  </si>
  <si>
    <t>C00125</t>
  </si>
  <si>
    <t>B00190</t>
  </si>
  <si>
    <t>B00150</t>
  </si>
  <si>
    <t>B00175</t>
  </si>
  <si>
    <t>A00165</t>
  </si>
  <si>
    <t>B00160</t>
  </si>
  <si>
    <t>B00140</t>
  </si>
  <si>
    <t>B00125</t>
  </si>
  <si>
    <t>B00110</t>
  </si>
  <si>
    <t>A00100</t>
  </si>
  <si>
    <t>B00225</t>
  </si>
  <si>
    <t>A00150</t>
  </si>
  <si>
    <t>A00135</t>
  </si>
  <si>
    <t>A00120</t>
  </si>
  <si>
    <t>A00105</t>
  </si>
  <si>
    <t>B00100</t>
  </si>
  <si>
    <t>B00130</t>
  </si>
  <si>
    <t>A00160</t>
  </si>
  <si>
    <t>B00115</t>
  </si>
  <si>
    <t>A00130</t>
  </si>
  <si>
    <t>A00115</t>
  </si>
  <si>
    <t>Q00105</t>
  </si>
  <si>
    <t>Q00100</t>
  </si>
  <si>
    <t>B00145</t>
  </si>
  <si>
    <t>A00110</t>
  </si>
  <si>
    <t>B00205</t>
  </si>
  <si>
    <t>C00130</t>
  </si>
  <si>
    <t>B00170</t>
  </si>
  <si>
    <t>C00105</t>
  </si>
  <si>
    <t>B00200</t>
  </si>
  <si>
    <t>B00105</t>
  </si>
  <si>
    <t>B00120</t>
  </si>
  <si>
    <t>B00165</t>
  </si>
  <si>
    <t>B00155</t>
  </si>
  <si>
    <t>C00135</t>
  </si>
  <si>
    <t>C00120</t>
  </si>
  <si>
    <t>A00170</t>
  </si>
  <si>
    <t>B00135</t>
  </si>
  <si>
    <t>B00180</t>
  </si>
  <si>
    <t>B00195</t>
  </si>
  <si>
    <t>B00210</t>
  </si>
  <si>
    <t>B00230</t>
  </si>
  <si>
    <t>CEME</t>
  </si>
  <si>
    <t>Lasserre</t>
  </si>
  <si>
    <t>C00115</t>
  </si>
  <si>
    <t>A00145</t>
  </si>
  <si>
    <t>C00100</t>
  </si>
  <si>
    <t>A00125</t>
  </si>
  <si>
    <t>A00155</t>
  </si>
  <si>
    <t>A00140</t>
  </si>
  <si>
    <t>B00185</t>
  </si>
  <si>
    <t>B00220</t>
  </si>
  <si>
    <t>B00215</t>
  </si>
  <si>
    <t>Macmillan</t>
  </si>
  <si>
    <t>A00190</t>
  </si>
  <si>
    <t>A00175</t>
  </si>
  <si>
    <t>A00205</t>
  </si>
  <si>
    <t>A00220</t>
  </si>
  <si>
    <t>A00235</t>
  </si>
  <si>
    <t>B00240</t>
  </si>
  <si>
    <t>A00185</t>
  </si>
  <si>
    <t>A00200</t>
  </si>
  <si>
    <t>A00215</t>
  </si>
  <si>
    <t>A00230</t>
  </si>
  <si>
    <t>A00245</t>
  </si>
  <si>
    <t>B00250</t>
  </si>
  <si>
    <t>B00265</t>
  </si>
  <si>
    <t>B00280</t>
  </si>
  <si>
    <t>B00295</t>
  </si>
  <si>
    <t>B00310</t>
  </si>
  <si>
    <t>B00325</t>
  </si>
  <si>
    <t>B00340</t>
  </si>
  <si>
    <t>B00355</t>
  </si>
  <si>
    <t>B00255</t>
  </si>
  <si>
    <t>B00370</t>
  </si>
  <si>
    <t>C00145</t>
  </si>
  <si>
    <t>C00160</t>
  </si>
  <si>
    <t>C00175</t>
  </si>
  <si>
    <t>C00170</t>
  </si>
  <si>
    <t>C00155</t>
  </si>
  <si>
    <t>C00140</t>
  </si>
  <si>
    <t>B00365</t>
  </si>
  <si>
    <t>B00335</t>
  </si>
  <si>
    <t>B00350</t>
  </si>
  <si>
    <t>B00320</t>
  </si>
  <si>
    <t>B00305</t>
  </si>
  <si>
    <t>B00290</t>
  </si>
  <si>
    <t>B00275</t>
  </si>
  <si>
    <t>B00260</t>
  </si>
  <si>
    <t>B00245</t>
  </si>
  <si>
    <t>A00240</t>
  </si>
  <si>
    <t>A00225</t>
  </si>
  <si>
    <t>A00210</t>
  </si>
  <si>
    <t>A00195</t>
  </si>
  <si>
    <t>A00180</t>
  </si>
  <si>
    <t>TEF3</t>
  </si>
  <si>
    <t>RH</t>
  </si>
  <si>
    <t>CO2</t>
  </si>
  <si>
    <t>CO</t>
  </si>
  <si>
    <t>VOC</t>
  </si>
  <si>
    <t>MRT</t>
  </si>
  <si>
    <t>V</t>
  </si>
  <si>
    <t>Noise</t>
  </si>
  <si>
    <t>WIND_A</t>
  </si>
  <si>
    <t>GRN</t>
  </si>
  <si>
    <t>WOOD</t>
  </si>
  <si>
    <t>SUM_GW</t>
  </si>
  <si>
    <t>SUM_BIO</t>
  </si>
  <si>
    <t>CLO</t>
  </si>
  <si>
    <t>PART</t>
  </si>
  <si>
    <t>HL_LUX</t>
  </si>
  <si>
    <t>HR_LUX</t>
  </si>
  <si>
    <t>V_LUX</t>
  </si>
  <si>
    <t>SAT_TEMP</t>
  </si>
  <si>
    <t>Dataset</t>
  </si>
  <si>
    <t>UBC</t>
  </si>
  <si>
    <t>OFF_TYPE</t>
  </si>
  <si>
    <t>RAIN</t>
  </si>
  <si>
    <t>BLINDS</t>
  </si>
  <si>
    <t>BL_OPER</t>
  </si>
  <si>
    <t>BL_DWN</t>
  </si>
  <si>
    <t>DESK_MAT</t>
  </si>
  <si>
    <t>DESK_COL</t>
  </si>
  <si>
    <t>CHAIR</t>
  </si>
  <si>
    <t>CHAIR_MAT</t>
  </si>
  <si>
    <t>FLOOR_MAT</t>
  </si>
  <si>
    <t>FLOOR_COL</t>
  </si>
  <si>
    <t>WALL_COL</t>
  </si>
  <si>
    <t>CEILING_COL</t>
  </si>
  <si>
    <t>PART_COL</t>
  </si>
  <si>
    <t>LAMP</t>
  </si>
  <si>
    <t>LUX</t>
  </si>
  <si>
    <t>LAMP_ON</t>
  </si>
  <si>
    <t>CEIL_H</t>
  </si>
  <si>
    <t>DIST_PLANT</t>
  </si>
  <si>
    <t>WIND_OPEN</t>
  </si>
  <si>
    <t>DIST_WIND1</t>
  </si>
  <si>
    <t>WIND_LOC1</t>
  </si>
  <si>
    <t>DIST_WIND2</t>
  </si>
  <si>
    <t>WIND_DIR2</t>
  </si>
  <si>
    <t>DESK_W</t>
  </si>
  <si>
    <t>DESK_L</t>
  </si>
  <si>
    <t>DESK_H</t>
  </si>
  <si>
    <t>PART_H</t>
  </si>
  <si>
    <t>OFFICE_LEN</t>
  </si>
  <si>
    <t>OFFICE_FREQ</t>
  </si>
  <si>
    <t>OFFICE_DUR</t>
  </si>
  <si>
    <t>PER_TEMP</t>
  </si>
  <si>
    <t>PREF_TEMP</t>
  </si>
  <si>
    <t>TEMP_CTL</t>
  </si>
  <si>
    <t>LT_TSAT</t>
  </si>
  <si>
    <t>LT_TSAT_S</t>
  </si>
  <si>
    <t>LT_TSAT_W</t>
  </si>
  <si>
    <t>WK_TSAT</t>
  </si>
  <si>
    <t>PREF_TEMP_S</t>
  </si>
  <si>
    <t>PREF_TEMP_W</t>
  </si>
  <si>
    <t>SAT_SIZE</t>
  </si>
  <si>
    <t>SAT_FURN</t>
  </si>
  <si>
    <t>DESK_ADJ</t>
  </si>
  <si>
    <t>CHAIR_ADJ</t>
  </si>
  <si>
    <t>SAT_CHAIR</t>
  </si>
  <si>
    <t>COMP_ADJ</t>
  </si>
  <si>
    <t>SAT_NOISE</t>
  </si>
  <si>
    <t>SAT_BIO</t>
  </si>
  <si>
    <t>SAT_LONG_NOISE</t>
  </si>
  <si>
    <t>NOISE_FACT</t>
  </si>
  <si>
    <t>NOISE_FACT_MAN</t>
  </si>
  <si>
    <t>DAYLIGHT</t>
  </si>
  <si>
    <t>SAT_DAYL</t>
  </si>
  <si>
    <t>SAT_GLARE</t>
  </si>
  <si>
    <t>WIND_VIEW</t>
  </si>
  <si>
    <t>CTL_VIEW</t>
  </si>
  <si>
    <t>SAT_VIEW</t>
  </si>
  <si>
    <t>SAT_LITE</t>
  </si>
  <si>
    <t>PREF_LITE</t>
  </si>
  <si>
    <t>CTL_LITE</t>
  </si>
  <si>
    <t>COLOUR</t>
  </si>
  <si>
    <t>WIND_ACC</t>
  </si>
  <si>
    <t>SCENT</t>
  </si>
  <si>
    <t>PER_VEL</t>
  </si>
  <si>
    <t>SAT_VEL</t>
  </si>
  <si>
    <t>PER_HUM</t>
  </si>
  <si>
    <t>SAT_HUM</t>
  </si>
  <si>
    <t>SAT_CTL</t>
  </si>
  <si>
    <t>IMPROV</t>
  </si>
  <si>
    <t>COMMENTS</t>
  </si>
  <si>
    <t>Private</t>
  </si>
  <si>
    <t>No</t>
  </si>
  <si>
    <t>Yes</t>
  </si>
  <si>
    <t>Laminate</t>
  </si>
  <si>
    <t>White</t>
  </si>
  <si>
    <t>Office chair</t>
  </si>
  <si>
    <t>mesh</t>
  </si>
  <si>
    <t>Carpet</t>
  </si>
  <si>
    <t>darkish gray</t>
  </si>
  <si>
    <t>white</t>
  </si>
  <si>
    <t>white + wood</t>
  </si>
  <si>
    <t>#N/A</t>
  </si>
  <si>
    <t>S</t>
  </si>
  <si>
    <t/>
  </si>
  <si>
    <t>N</t>
  </si>
  <si>
    <t>Open plan</t>
  </si>
  <si>
    <t>laminate</t>
  </si>
  <si>
    <t>grey</t>
  </si>
  <si>
    <t>wood</t>
  </si>
  <si>
    <t>SE</t>
  </si>
  <si>
    <t>NW</t>
  </si>
  <si>
    <t>1,4</t>
  </si>
  <si>
    <t>Working in an office space with ~5 other students, while I do have some control over the operable window and blinds, I feel that I always have to check whether everyone is okay with altering the lighting/temperature before changing anything.</t>
  </si>
  <si>
    <t>fresh</t>
  </si>
  <si>
    <t>cloth</t>
  </si>
  <si>
    <t>1,3</t>
  </si>
  <si>
    <t>The shared, open office workspace model provides buth benefits and challenges. Benefits in the sense of keeping informed about colleague initiatives and identifying synergies. Challanges in the sense of noise levels, distractions and privacy.</t>
  </si>
  <si>
    <t>2</t>
  </si>
  <si>
    <t>none</t>
  </si>
  <si>
    <t>white/wood</t>
  </si>
  <si>
    <t>Thermal comfort is fine, even in the summer (especially because I have a desk fan); but when there is no wind, it gets very warm. Being a passive building, IAQ suffers during smoke events.</t>
  </si>
  <si>
    <t>No.</t>
  </si>
  <si>
    <t>wood/white</t>
  </si>
  <si>
    <t xml:space="preserve">For a majority of the time, everything is fine. On cold days the office is very cold, on hot days the office is uncomfortably hot. For my office noise isn't too much of an issue, but on busy days there is a hum of activity and there is no escaping, which is when I wear my headphones.  </t>
  </si>
  <si>
    <t>3,4</t>
  </si>
  <si>
    <t xml:space="preserve">Thermal comfort, paired with the necessity of energy reductions, is certainly the greatest challenge to environmental quality across the buildings I have experienced at UBC...in that sense, my current workstation is highly favourable. </t>
  </si>
  <si>
    <t>Wood/light brown</t>
  </si>
  <si>
    <t>Grey</t>
  </si>
  <si>
    <t>light grey</t>
  </si>
  <si>
    <t>2,4</t>
  </si>
  <si>
    <t>SW</t>
  </si>
  <si>
    <t>Semi private (2-5 desks)</t>
  </si>
  <si>
    <t>white and wood</t>
  </si>
  <si>
    <t>2,3</t>
  </si>
  <si>
    <t>Lights go off when sensors don't detect motion even if you are still at your workstation, which is annoing</t>
  </si>
  <si>
    <t>light brown/wood</t>
  </si>
  <si>
    <t>E</t>
  </si>
  <si>
    <t>3</t>
  </si>
  <si>
    <t>More plants and greenery around the workspace would be excellent; there good lighting due to glass partition walls at my workstation but there is a trade-off in terms of office privacy.</t>
  </si>
  <si>
    <t>half</t>
  </si>
  <si>
    <t>1,2,4</t>
  </si>
  <si>
    <t>Noise and indoor air quality (re fragrances/scents) are the most negative things about my workstation.</t>
  </si>
  <si>
    <t>nope, no comments.</t>
  </si>
  <si>
    <t>brown/wood</t>
  </si>
  <si>
    <t>brown</t>
  </si>
  <si>
    <t>leather</t>
  </si>
  <si>
    <t>gray</t>
  </si>
  <si>
    <t>artificial leather</t>
  </si>
  <si>
    <t>dark gray</t>
  </si>
  <si>
    <t>wood/light brown</t>
  </si>
  <si>
    <t>Gray</t>
  </si>
  <si>
    <t>N/a</t>
  </si>
  <si>
    <t xml:space="preserve">Our building does not have air conditioning so it gets very hot in the summer, especially in the late afternoon.  In the winter, the thermostat is fixed for the whole building, I prefer it to be warmer because it gets really cold in my office.  </t>
  </si>
  <si>
    <t>more privacy</t>
  </si>
  <si>
    <t>n/a</t>
  </si>
  <si>
    <t>light brown</t>
  </si>
  <si>
    <t>NE</t>
  </si>
  <si>
    <t xml:space="preserve">Children playing outside my window in the summer. It can get very loud when gearing up starts. </t>
  </si>
  <si>
    <t xml:space="preserve">I have a thermostat and a heater, BUT it does not actually work. At the moment the thermostat is turned down, but the heater still comes on in the mornings, even in the summer when it is not needed. I can open the window so it is not a problem in terms of comfort, but it is such a waste of energy/resources. </t>
  </si>
  <si>
    <t>N/A</t>
  </si>
  <si>
    <t>fabric</t>
  </si>
  <si>
    <t>Wood</t>
  </si>
  <si>
    <t>Brown</t>
  </si>
  <si>
    <t>Cloth</t>
  </si>
  <si>
    <t>Beige</t>
  </si>
  <si>
    <t>I've had a persistent cough for months now. It's an issue I've never dealt with (especially only being 29). I notice that it gets better on the weekends when I am away from the office, so it is concerning to feel like the office air quality is impacting my health negatively. I don't know if it's just a lot of dust in the air, or something else, but I know I'm not the only one who has had issues with the air quality.</t>
  </si>
  <si>
    <t>Mesh</t>
  </si>
  <si>
    <t>Construction</t>
  </si>
  <si>
    <t>yoga ball</t>
  </si>
  <si>
    <t>rubber</t>
  </si>
  <si>
    <t>Blue</t>
  </si>
  <si>
    <t>The environment is highly variable. Today is an above average day, as I am able to keep my window open to allow in fresh air. In the winter, or on windy days, this is not an option. On cold winter days the HVAC system cannot keep up with the thermal demands of this office, as I have a wall of single-pane window behind me. It would be nice to have adjustable LED lights, rather than the current (non-adjustable) fluorescent lights.</t>
  </si>
  <si>
    <t>blue/grey</t>
  </si>
  <si>
    <t>339x10</t>
  </si>
  <si>
    <t>214x10</t>
  </si>
  <si>
    <t>Dump trucks picking up the dumpsters outside my window...</t>
  </si>
  <si>
    <t>The single pane windows are the biggest problem in my office - the temperature is all over the place.</t>
  </si>
  <si>
    <t>light gray</t>
  </si>
  <si>
    <t>Absence of noise - too quiet</t>
  </si>
  <si>
    <t>1. windows should have screens!  2. I painted my own office, it should have been.  3. I bought my own furniture, this is poor.</t>
  </si>
  <si>
    <t>Black</t>
  </si>
  <si>
    <t>Darkish Gray</t>
  </si>
  <si>
    <t>Grey and Chartruse</t>
  </si>
  <si>
    <t xml:space="preserve">Windowless offices are terrible. </t>
  </si>
  <si>
    <t>Closed</t>
  </si>
  <si>
    <t>Half</t>
  </si>
  <si>
    <t>Stool</t>
  </si>
  <si>
    <t>Linoleum</t>
  </si>
  <si>
    <t xml:space="preserve">Pretty much covered it! We have constant temperature troubles in this office - I have a heater and fan ready to go at any time </t>
  </si>
  <si>
    <t>Open Plan</t>
  </si>
  <si>
    <t>browm</t>
  </si>
  <si>
    <t>linoleum</t>
  </si>
  <si>
    <t>Fluorescent lights are horrible. Slatted windows leak air in the winter making the office very cold.</t>
  </si>
  <si>
    <t>lionelum</t>
  </si>
  <si>
    <t>wood/ light brown</t>
  </si>
  <si>
    <t>ergo assessment should be done for this desk</t>
  </si>
  <si>
    <t>North</t>
  </si>
  <si>
    <t>plastic/fiber glass</t>
  </si>
  <si>
    <t>A practice room for brass instruments is located adjacent to our space. That is distracting</t>
  </si>
  <si>
    <t>The systems in our building have very little nuance or variability. They are a "one-size-fits-all" solution, which limits my ability to adjust my work environment</t>
  </si>
  <si>
    <t>None</t>
  </si>
  <si>
    <t>Small space shared by many people</t>
  </si>
  <si>
    <t>Sound is the biggest problem with the office set-up - I can hear every conversation in half the office and that level of sound (and type of sound) is very distracting.</t>
  </si>
  <si>
    <t xml:space="preserve">Because our workstations are so open, we often have to meet and discuss/collaborate in meeting rooms. I usually have about 3-6 meetings a day in these rooms. While my workstation is fine for most of the factors surveyed, it's all the common workspaces that are a pain. Temperatures in those rooms are consistently either too cold or too hot, stale air, etc. </t>
  </si>
  <si>
    <t>Blue (navy-ish)</t>
  </si>
  <si>
    <t>4</t>
  </si>
  <si>
    <t>I run a bit hot in general, but I understand most of my coworkers are usually cold. Also - I am very sensitive to background noise and white noise due to concussions</t>
  </si>
  <si>
    <t>It's usually cold due to the air conditioning.</t>
  </si>
  <si>
    <t>Light brown</t>
  </si>
  <si>
    <t>Dark grey</t>
  </si>
  <si>
    <t>White/wood</t>
  </si>
  <si>
    <t>Light grey</t>
  </si>
  <si>
    <t>I feel incredibly lucky to have large windows and significant amounts of natural light at my workstation. It is definitely a high traffic area as we are located at the entrance of the office and are the front desk, but this traffic is offset by the small number of desks around me and the amazing windows and view. Since there are so many windows, when it's hot in the summer it's always too warm, while the back of the office is nicely cool</t>
  </si>
  <si>
    <t>1,2,3</t>
  </si>
  <si>
    <t>Partially</t>
  </si>
  <si>
    <t>Generally okay except when having meetings as it gets quite warm. Also, lots of background noise when others are talking in offices around me.</t>
  </si>
  <si>
    <t>It can get too warm in the office when the door is closed, so it's preferable to just leave it open when possible.</t>
  </si>
  <si>
    <t>I have a heater on at my workspace all year round.  I find many colleagues need a warm layer all year round too.  It might be a good idea to have the indoor temperature a little warmer.</t>
  </si>
  <si>
    <t>the air is a bit stale from the reception area leading into the confidential area. if other lighting options can be explored, that would be great.</t>
  </si>
  <si>
    <t>Conversation and Speech and Air-Conditioning</t>
  </si>
  <si>
    <t>nothing to add. Thank you for doing this! :-)</t>
  </si>
  <si>
    <t>I recently switched desks due to lighting at my previous desk which I didn't have control over. The lighting at this desk is having less of an impact on my work due to the decreased glare.</t>
  </si>
  <si>
    <t>I really appreciate having a window and a lovely view. I also value the height adjustable desk. The office is much colder than other parts of our floor, and the space in the office is cramped because a single office has been made into a shared office. This set-up also creates issues with noise levels (conversations, interruptions, etc).</t>
  </si>
  <si>
    <t>I sneeze more in the office than elsewhere.</t>
  </si>
  <si>
    <t>shared office space with 5 other people so gets a bit noisy in here sometimes; quite dry in the winter</t>
  </si>
  <si>
    <t>dark blue and beige</t>
  </si>
  <si>
    <t>During hot days in the summer, the office area can become quite hot and there's no air conditioning available.</t>
  </si>
  <si>
    <t>outdoor noise</t>
  </si>
  <si>
    <t>Varies greatly depending on outdoor conditions due to poor building enclosure.</t>
  </si>
  <si>
    <t>NO</t>
  </si>
  <si>
    <t>Semi private(2-5 desks)</t>
  </si>
  <si>
    <t>Local Variable Name</t>
  </si>
  <si>
    <t>Imported Variable Name</t>
  </si>
  <si>
    <t>Imported File Name</t>
  </si>
  <si>
    <t>Collection Device</t>
  </si>
  <si>
    <t>ID</t>
  </si>
  <si>
    <t>QID61_TEXT</t>
  </si>
  <si>
    <t>Alphanumeric</t>
  </si>
  <si>
    <t>Unique identifier</t>
  </si>
  <si>
    <t>Survey</t>
  </si>
  <si>
    <t>GREYTIME</t>
  </si>
  <si>
    <t>What is the current time on the GrayWolf tablet (any time that would capture logging for this Unique Identifier)?</t>
  </si>
  <si>
    <t>HH:MM</t>
  </si>
  <si>
    <t>Time of sensors starting</t>
  </si>
  <si>
    <t>Manual</t>
  </si>
  <si>
    <t>PICTIME</t>
  </si>
  <si>
    <t>Time image was taken</t>
  </si>
  <si>
    <t>Float</t>
  </si>
  <si>
    <t>Air temperature (C)</t>
  </si>
  <si>
    <t>Velocicalc</t>
  </si>
  <si>
    <t>Relative Humidity (%)</t>
  </si>
  <si>
    <t>Carbon Dioxide (ppm)</t>
  </si>
  <si>
    <t>Graywolf</t>
  </si>
  <si>
    <t>Carbon Monoxide (ppm)</t>
  </si>
  <si>
    <t>Nitric Oxide</t>
  </si>
  <si>
    <t>Volatile Organic Compounds (ppb)</t>
  </si>
  <si>
    <t>Mean Radiant Temperature (C)</t>
  </si>
  <si>
    <t>Cube</t>
  </si>
  <si>
    <t>Velocity (m/s)</t>
  </si>
  <si>
    <t>NOISE</t>
  </si>
  <si>
    <t>Background Noise Level (db)</t>
  </si>
  <si>
    <t>SoundPro</t>
  </si>
  <si>
    <t>Percentage of window in view</t>
  </si>
  <si>
    <t>RICOH Theta</t>
  </si>
  <si>
    <t>Percentage of greenery (total)</t>
  </si>
  <si>
    <t>Percentage of wood (total)</t>
  </si>
  <si>
    <t>BIOPHIL</t>
  </si>
  <si>
    <t>Percentage of view that is "biophilic"</t>
  </si>
  <si>
    <t>Office Type</t>
  </si>
  <si>
    <t>Text input</t>
  </si>
  <si>
    <t>Office type</t>
  </si>
  <si>
    <t>Is it raining?</t>
  </si>
  <si>
    <t>Yes No</t>
  </si>
  <si>
    <t>Weather</t>
  </si>
  <si>
    <t>Are there blinds?</t>
  </si>
  <si>
    <t>Are the blinds operable?</t>
  </si>
  <si>
    <t>Are the blinds down?</t>
  </si>
  <si>
    <t>Clothing</t>
  </si>
  <si>
    <t>FTWR</t>
  </si>
  <si>
    <t>Footwear</t>
  </si>
  <si>
    <t>Desk Material</t>
  </si>
  <si>
    <t>Surface material of individual's desk</t>
  </si>
  <si>
    <t>Desk Surface Colour</t>
  </si>
  <si>
    <t>Surface color of individual's desk</t>
  </si>
  <si>
    <t>Chair Type (i.e. Office Chair, Stool, Armchair)</t>
  </si>
  <si>
    <t>Chair type</t>
  </si>
  <si>
    <t>Chair Material (i.e. cloth, mesh, wood)</t>
  </si>
  <si>
    <t>Chair material</t>
  </si>
  <si>
    <t>Floor Material</t>
  </si>
  <si>
    <t>Surface material of floor</t>
  </si>
  <si>
    <t>Floor Surface Colour</t>
  </si>
  <si>
    <t>Surface color of floor</t>
  </si>
  <si>
    <t>Wall Surface Colour</t>
  </si>
  <si>
    <t>Surface color of walls</t>
  </si>
  <si>
    <t>Ceiling Surface Colour</t>
  </si>
  <si>
    <t>Partition Surface Colour (if applicable)</t>
  </si>
  <si>
    <t>Is there a desk lamp?</t>
  </si>
  <si>
    <t>Lux Measurement Horizontal Left (Lamp on)</t>
  </si>
  <si>
    <t>Light Meter</t>
  </si>
  <si>
    <t>Lux Measurement Horizontal Right (Lamp on)</t>
  </si>
  <si>
    <t>Surface material of partitions (if applicable)</t>
  </si>
  <si>
    <t>Lux Measurement Vertical (Lamp on)</t>
  </si>
  <si>
    <t>Surface color of partitions (if applicable)</t>
  </si>
  <si>
    <t>Is the desk lamp on?</t>
  </si>
  <si>
    <t>Ceiling Height (m) (from floor)</t>
  </si>
  <si>
    <t>Tape Measurer</t>
  </si>
  <si>
    <t>Distance to indoor plant (m)</t>
  </si>
  <si>
    <t>Distance to closest indoor plant (m)</t>
  </si>
  <si>
    <t>Bosch Laser</t>
  </si>
  <si>
    <t>Are the windows open in your workspace?</t>
  </si>
  <si>
    <t>Distance to Nearest Window (m)</t>
  </si>
  <si>
    <t>Distance to closest window (m)</t>
  </si>
  <si>
    <t>Relative Orientation of Window (Facing Monitor)</t>
  </si>
  <si>
    <t>Right Left Front Back</t>
  </si>
  <si>
    <t>Location of window relative to seated occupant</t>
  </si>
  <si>
    <t>Distance to Second Window (m)</t>
  </si>
  <si>
    <t>Direction of Second Window</t>
  </si>
  <si>
    <t>N S E W NW NE SW SE</t>
  </si>
  <si>
    <t>Width (m)</t>
  </si>
  <si>
    <t>Width of individual's desk (m)</t>
  </si>
  <si>
    <t>Depth (m)</t>
  </si>
  <si>
    <t>Depth of individual's desk (m)</t>
  </si>
  <si>
    <t>Height (m)</t>
  </si>
  <si>
    <t>Height of individual's desk (m)</t>
  </si>
  <si>
    <t>Partition Height (m) (if applicable)</t>
  </si>
  <si>
    <t>Q5</t>
  </si>
  <si>
    <t>Building+Occupant+Survey+of+Indoor+Environmental+Quality_mmmm+dd,+2019_hh.mm</t>
  </si>
  <si>
    <t>1 2</t>
  </si>
  <si>
    <t>What is your gender?</t>
  </si>
  <si>
    <t>Q6</t>
  </si>
  <si>
    <t>1 2 3 4</t>
  </si>
  <si>
    <t>What is your age group?</t>
  </si>
  <si>
    <t>Q53</t>
  </si>
  <si>
    <t>How long have you been working in this office?</t>
  </si>
  <si>
    <t>Q7</t>
  </si>
  <si>
    <t>1 2 3</t>
  </si>
  <si>
    <t>How many days per week do you usually spend in your office?</t>
  </si>
  <si>
    <t>Q8</t>
  </si>
  <si>
    <t>How many hours per day do you usually spend in your office?</t>
  </si>
  <si>
    <t>Q36</t>
  </si>
  <si>
    <t>1 2 3 4 5 6 7</t>
  </si>
  <si>
    <t>How  would you rate the temperature at your workspace right now?</t>
  </si>
  <si>
    <t>Q38</t>
  </si>
  <si>
    <t>How would you rate your satisfaction with the air temperature at your workspace right now?</t>
  </si>
  <si>
    <t>Q50</t>
  </si>
  <si>
    <t>How would you rate your preference with respect to the air temperature at your workspace right now?</t>
  </si>
  <si>
    <t>Q42</t>
  </si>
  <si>
    <t>Do you feel you are able to control the temperature at your workplace (e.g., operable window, thermostat, etc.)?</t>
  </si>
  <si>
    <t>Q38_1</t>
  </si>
  <si>
    <t>Over the PAST YEAR, how satisfied have you been with the overall air temperature at your workspace? - Entire year</t>
  </si>
  <si>
    <t>Q38_2</t>
  </si>
  <si>
    <t>Over the PAST YEAR, how satisfied have you been with the overall air temperature at your workspace? - Summer</t>
  </si>
  <si>
    <t>Q38_3</t>
  </si>
  <si>
    <t>Over the PAST YEAR, how satisfied have you been with the overall air temperature at your workspace? - Winter</t>
  </si>
  <si>
    <t>Q48</t>
  </si>
  <si>
    <t>During a typical work week, how many times do you feel dissatisfied with the air temperature at your workspace?</t>
  </si>
  <si>
    <t>Q49_1</t>
  </si>
  <si>
    <t>Over the PAST YEAR, how would you rate your preference with respect to the typical air temperature at your workstation? - Summer</t>
  </si>
  <si>
    <t>Q49_2</t>
  </si>
  <si>
    <t>Over the PAST YEAR, how would you rate your preference with respect to the typical air temperature at your workstation? - Winter</t>
  </si>
  <si>
    <t>Q12_1</t>
  </si>
  <si>
    <t>How would you rate your satisfaction with the following design aspects of your workstation? - The  size of your workstation</t>
  </si>
  <si>
    <t>Q12_2</t>
  </si>
  <si>
    <t>How would you rate your satisfaction with the following design aspects of your workstation? - The amount of privacy at your workstation</t>
  </si>
  <si>
    <t>Q12_3</t>
  </si>
  <si>
    <t>How would you rate your satisfaction with the following design aspects of your workstation? - The overall layout and design of your office</t>
  </si>
  <si>
    <t>Q31</t>
  </si>
  <si>
    <t>Is your desk height-adjustable?</t>
  </si>
  <si>
    <t>Is your chair/seat adjustable (height, tilt, etc.)?</t>
  </si>
  <si>
    <t>Q44</t>
  </si>
  <si>
    <t>How would you rate your satisfaction with the comfort provided by your office chair?</t>
  </si>
  <si>
    <t>Q49</t>
  </si>
  <si>
    <t>Is your computer screen adjustable (height, angle, etc.)?</t>
  </si>
  <si>
    <t>Q30</t>
  </si>
  <si>
    <t>Do you use personal headphones while you work?</t>
  </si>
  <si>
    <t>Q47_1</t>
  </si>
  <si>
    <t>How would you rate the following environmental conditions at your workspace right now? - The amount of light received at your desktop</t>
  </si>
  <si>
    <t>Q47_2</t>
  </si>
  <si>
    <t>How would you rate the following environmental conditions at your workspace right now? - The background noise levels around you</t>
  </si>
  <si>
    <t>Q47_3</t>
  </si>
  <si>
    <t>How would you rate the following environmental conditions at your workspace right now? - The amount of indoor plants or greenery</t>
  </si>
  <si>
    <t>Q43</t>
  </si>
  <si>
    <t>How would you rate your long-term satisfaction with the background noise levels at your office ?</t>
  </si>
  <si>
    <t>1 2 3 4 5</t>
  </si>
  <si>
    <t>Which factors do you find affect the background noise levels at your workstation the most? - Selected Choice</t>
  </si>
  <si>
    <t>Q50_5_TEXT</t>
  </si>
  <si>
    <t>Which factors do you find affect the background noise levels at your workstation the most? - Other: - Text</t>
  </si>
  <si>
    <t>Q17</t>
  </si>
  <si>
    <t>How much daylight do you feel your workstation receives on an average workday?</t>
  </si>
  <si>
    <t>Q16</t>
  </si>
  <si>
    <t>How would you rate your satisfaction with the daylight   availability at   your   workspace right now?</t>
  </si>
  <si>
    <t>Q18</t>
  </si>
  <si>
    <t>How satisfied are you with the visibility of your computer screen in relation to glare (from sunlight or reflected light from outdoors) ?</t>
  </si>
  <si>
    <t>Q19</t>
  </si>
  <si>
    <t>Would you consider your workstation to have a good view to the outside?</t>
  </si>
  <si>
    <t>Q54</t>
  </si>
  <si>
    <t>Are you able to control the amount of daylight you receive (i.e., adjustable blinds)?</t>
  </si>
  <si>
    <t>Q21</t>
  </si>
  <si>
    <t>How satisfied are you with the view to the outside from your workstation?</t>
  </si>
  <si>
    <t>Q29</t>
  </si>
  <si>
    <t>With respect to artificial (electric) lighting, how would you rate your satisfaction with the amount of light at your workspace right now?</t>
  </si>
  <si>
    <t>Q51</t>
  </si>
  <si>
    <t>How would you rate your preference with respect to light levels at your workspace?</t>
  </si>
  <si>
    <t>Q28</t>
  </si>
  <si>
    <t>Do you feel you have adequate control over the electric lights at your workspace (i.e., dimmable light switches, desk lamp, on/off control, etc.)?</t>
  </si>
  <si>
    <t>Q26</t>
  </si>
  <si>
    <t>1 2 3 4 (mult)</t>
  </si>
  <si>
    <t>How would you describe the colour tone around your workspace? (Check all that apply)</t>
  </si>
  <si>
    <t>Q23</t>
  </si>
  <si>
    <t>How would you rate your satisfaction with the air quality at your workspace right now?</t>
  </si>
  <si>
    <t>Q25</t>
  </si>
  <si>
    <t>Do you have access to an operable window?</t>
  </si>
  <si>
    <t>Q46</t>
  </si>
  <si>
    <t>Are you currently bothered by the smells, scents, or perfumes around your workspace?</t>
  </si>
  <si>
    <t>Q39</t>
  </si>
  <si>
    <t>How would you rate the air movement at your workspace?</t>
  </si>
  <si>
    <t>Q41</t>
  </si>
  <si>
    <t>How would you rate your satisfaction with the air movement at your workspace?</t>
  </si>
  <si>
    <t>How would you rate the humidity at your workspace?</t>
  </si>
  <si>
    <t>How would you rate your satisfaction with the humidity at your workspace?</t>
  </si>
  <si>
    <t>Q45</t>
  </si>
  <si>
    <t>How would you rate your OVERALL satisfaction with the level of control you have on the indoor environment  at your workspace?</t>
  </si>
  <si>
    <t>Q24</t>
  </si>
  <si>
    <t>1 2 3 4 5 6</t>
  </si>
  <si>
    <t>Which one of the following conditions do you think is most important for UBC Building Operations to address, in terms of improving your indoor environment?</t>
  </si>
  <si>
    <t>Q52</t>
  </si>
  <si>
    <t>Do you have any other comments to share about the overall environmental quality at your workstation?</t>
  </si>
  <si>
    <t>1=Male, 2=Female</t>
  </si>
  <si>
    <t xml:space="preserve">No. Other than noise issues. The work station is great other than in the summer it is generally hot with no air flow and in the winter it is usually cold. </t>
  </si>
  <si>
    <t>We have made smaller/interactive spaces a feature of working in our space - and make sure that people are aware of this up front to manage expectations related to higher noise levels and less private space... which has really increased support for this approach</t>
  </si>
  <si>
    <t>The auto lights turn off too frequently. In the evening I am left in total dark too often.</t>
  </si>
  <si>
    <t>The tall ceilings and windows make for a very comfortable work environment.</t>
  </si>
  <si>
    <t>I do have control over an operable window and blind for shading, but because I work in a pod with 6 or 7 others, we often don't adjust anything.</t>
  </si>
  <si>
    <t>EXTERNAL NOISE</t>
  </si>
  <si>
    <t>Sensor lights in the workplace are very inconvenient!</t>
  </si>
  <si>
    <t>Office CO2 level often over 1100ppm during winter afternoons</t>
  </si>
  <si>
    <t>I WOULD PREFER SOME CONTROL WITH THE TEMPERATURE</t>
  </si>
  <si>
    <t>1,2</t>
  </si>
  <si>
    <t>thermal comfort during the winter is the only thing that will bother me and I can't control</t>
  </si>
  <si>
    <t>Building Operations recommends closing blinds during day in winter = no outdoor view in that case.  Have added own plastic barrier as second layer to single pane windows</t>
  </si>
  <si>
    <t>More privacy</t>
  </si>
  <si>
    <t>Would be nice to have a cooling option in the summer (e.g. AC).</t>
  </si>
  <si>
    <t>The windows in CEME are a disaster. This is absolutely the most important thing that needs replacement.</t>
  </si>
  <si>
    <t>toilet flushing</t>
  </si>
  <si>
    <t>Tools and Machinery, Dust collection system</t>
  </si>
  <si>
    <t>It's an office in a woodshop. It could be better for noise and light and temperature, but it will never be perfect.</t>
  </si>
  <si>
    <t>leaf blowers, mowers, construction work on building</t>
  </si>
  <si>
    <t>Very leaky window system creates discomfort issues winter and summer.</t>
  </si>
  <si>
    <t>machines and people</t>
  </si>
  <si>
    <t>My workspace is not my own. Possibly consider privacy. Also multiple answers could be used for noise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</si>
</sst>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409]m/d/yy\ h:mm\ AM/PM;@"/>
  </numFmts>
  <fonts count="12">
    <font>
      <sz val="10"/>
      <name val="Arial"/>
    </font>
    <font>
      <sz val="10"/>
      <name val="Arial"/>
      <family val="2"/>
    </font>
    <font>
      <b/>
      <sz val="10"/>
      <name val="Arial"/>
      <family val="2"/>
    </font>
    <font>
      <sz val="10"/>
      <name val="MS Sans Serif"/>
    </font>
    <font>
      <sz val="9"/>
      <color indexed="81"/>
      <name val="Tahoma"/>
      <family val="2"/>
    </font>
    <font>
      <b/>
      <sz val="9"/>
      <color indexed="81"/>
      <name val="Tahoma"/>
      <family val="2"/>
    </font>
    <font>
      <sz val="10"/>
      <color rgb="FF000000"/>
      <name val="Arial"/>
      <family val="2"/>
    </font>
    <font>
      <b/>
      <sz val="9"/>
      <color rgb="FF000000"/>
      <name val="Tahoma"/>
      <family val="2"/>
    </font>
    <font>
      <sz val="9"/>
      <color rgb="FF000000"/>
      <name val="Tahoma"/>
      <family val="2"/>
    </font>
    <font>
      <sz val="11"/>
      <color rgb="FF000000"/>
      <name val="Inconsolata"/>
    </font>
    <font>
      <sz val="10"/>
      <color rgb="FF000000"/>
      <name val="Arial"/>
    </font>
    <font>
      <b/>
      <sz val="10"/>
      <name val="Arial"/>
    </font>
  </fonts>
  <fills count="17">
    <fill>
      <patternFill patternType="none"/>
    </fill>
    <fill>
      <patternFill patternType="gray125"/>
    </fill>
    <fill>
      <patternFill patternType="solid">
        <fgColor indexed="57"/>
        <bgColor indexed="64"/>
      </patternFill>
    </fill>
    <fill>
      <patternFill patternType="solid">
        <fgColor rgb="FFFFFFCC"/>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0"/>
        <bgColor indexed="64"/>
      </patternFill>
    </fill>
    <fill>
      <patternFill patternType="solid">
        <fgColor rgb="FF92D050"/>
        <bgColor indexed="64"/>
      </patternFill>
    </fill>
    <fill>
      <patternFill patternType="solid">
        <fgColor rgb="FFB6F99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2"/>
        <bgColor indexed="64"/>
      </patternFill>
    </fill>
    <fill>
      <patternFill patternType="solid">
        <fgColor rgb="FFFEF2CB"/>
        <bgColor indexed="64"/>
      </patternFill>
    </fill>
    <fill>
      <patternFill patternType="solid">
        <fgColor rgb="FFFFFFFF"/>
        <bgColor rgb="FFFFFFFF"/>
      </patternFill>
    </fill>
    <fill>
      <patternFill patternType="solid">
        <fgColor rgb="FFD0CECE"/>
        <bgColor rgb="FFD0CECE"/>
      </patternFill>
    </fill>
  </fills>
  <borders count="5">
    <border>
      <left/>
      <right/>
      <top/>
      <bottom/>
      <diagonal/>
    </border>
    <border>
      <left/>
      <right/>
      <top/>
      <bottom style="thin">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rgb="FFC0C0C0"/>
      </left>
      <right style="thin">
        <color rgb="FF000000"/>
      </right>
      <top style="thin">
        <color rgb="FFC0C0C0"/>
      </top>
      <bottom style="thin">
        <color rgb="FFC0C0C0"/>
      </bottom>
      <diagonal/>
    </border>
    <border>
      <left style="thin">
        <color rgb="FF000000"/>
      </left>
      <right style="thin">
        <color rgb="FF000000"/>
      </right>
      <top style="thin">
        <color rgb="FF000000"/>
      </top>
      <bottom style="thin">
        <color rgb="FF000000"/>
      </bottom>
      <diagonal/>
    </border>
  </borders>
  <cellStyleXfs count="14">
    <xf numFmtId="0" fontId="0"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0" fillId="0" borderId="0"/>
  </cellStyleXfs>
  <cellXfs count="101">
    <xf numFmtId="0" fontId="0" fillId="0" borderId="0" xfId="0"/>
    <xf numFmtId="0" fontId="0" fillId="0" borderId="0" xfId="0" applyFill="1" applyBorder="1"/>
    <xf numFmtId="0" fontId="0" fillId="2" borderId="0" xfId="0" applyFill="1" applyBorder="1" applyAlignment="1">
      <alignment horizontal="center" vertical="center"/>
    </xf>
    <xf numFmtId="0" fontId="1" fillId="2" borderId="1" xfId="0" applyFont="1" applyFill="1" applyBorder="1" applyAlignment="1">
      <alignment horizontal="center" vertical="center"/>
    </xf>
    <xf numFmtId="2" fontId="0" fillId="2" borderId="0" xfId="0" applyNumberFormat="1" applyFill="1" applyBorder="1" applyAlignment="1">
      <alignment horizontal="center" vertical="center"/>
    </xf>
    <xf numFmtId="0" fontId="0" fillId="0" borderId="0" xfId="0" applyFill="1" applyBorder="1" applyAlignment="1">
      <alignment horizontal="center" vertical="center"/>
    </xf>
    <xf numFmtId="2" fontId="0" fillId="0" borderId="0" xfId="0" applyNumberFormat="1" applyFill="1" applyBorder="1" applyAlignment="1">
      <alignment horizontal="center" vertical="center"/>
    </xf>
    <xf numFmtId="0" fontId="2" fillId="3" borderId="2" xfId="0" applyFont="1" applyFill="1" applyBorder="1" applyAlignment="1">
      <alignment horizontal="center" vertical="center"/>
    </xf>
    <xf numFmtId="0" fontId="0" fillId="3" borderId="0" xfId="0" applyFill="1" applyBorder="1" applyAlignment="1">
      <alignment horizontal="center" vertical="center"/>
    </xf>
    <xf numFmtId="0" fontId="0" fillId="3" borderId="0" xfId="0" applyFill="1" applyBorder="1"/>
    <xf numFmtId="0" fontId="2" fillId="4" borderId="2" xfId="0" applyFont="1" applyFill="1" applyBorder="1" applyAlignment="1">
      <alignment horizontal="center" vertical="center"/>
    </xf>
    <xf numFmtId="0" fontId="0" fillId="4" borderId="0" xfId="0" applyFill="1" applyBorder="1" applyAlignment="1">
      <alignment horizontal="center" vertical="center"/>
    </xf>
    <xf numFmtId="0" fontId="0" fillId="4" borderId="0" xfId="0" applyFill="1" applyBorder="1"/>
    <xf numFmtId="0" fontId="2" fillId="5" borderId="2" xfId="0" applyFont="1" applyFill="1" applyBorder="1" applyAlignment="1">
      <alignment horizontal="center" vertical="center"/>
    </xf>
    <xf numFmtId="0" fontId="0" fillId="5" borderId="0" xfId="0" applyFill="1" applyBorder="1" applyAlignment="1">
      <alignment horizontal="center" vertical="center"/>
    </xf>
    <xf numFmtId="0" fontId="0" fillId="5" borderId="0" xfId="0" applyFill="1" applyBorder="1"/>
    <xf numFmtId="0" fontId="0" fillId="6" borderId="0" xfId="0" applyFill="1" applyAlignment="1">
      <alignment horizontal="center" vertical="center"/>
    </xf>
    <xf numFmtId="0" fontId="0" fillId="6" borderId="0" xfId="0" applyFill="1" applyBorder="1" applyAlignment="1">
      <alignment horizontal="center" vertical="center"/>
    </xf>
    <xf numFmtId="0" fontId="0" fillId="7" borderId="0" xfId="0" applyFill="1" applyBorder="1" applyAlignment="1">
      <alignment horizontal="center" vertical="center"/>
    </xf>
    <xf numFmtId="0" fontId="0" fillId="7" borderId="0" xfId="0" applyFill="1" applyAlignment="1">
      <alignment horizontal="center" vertical="center"/>
    </xf>
    <xf numFmtId="0" fontId="1" fillId="8" borderId="0" xfId="0" applyFont="1" applyFill="1" applyBorder="1" applyAlignment="1">
      <alignment horizontal="center" vertical="center"/>
    </xf>
    <xf numFmtId="0" fontId="1" fillId="7" borderId="0" xfId="0" applyFont="1" applyFill="1" applyBorder="1" applyAlignment="1">
      <alignment horizontal="center" vertical="center"/>
    </xf>
    <xf numFmtId="0" fontId="0" fillId="3" borderId="2" xfId="0" applyFill="1" applyBorder="1" applyAlignment="1">
      <alignment horizontal="center" vertical="center"/>
    </xf>
    <xf numFmtId="0" fontId="0" fillId="5" borderId="2" xfId="0" applyFill="1" applyBorder="1" applyAlignment="1">
      <alignment horizontal="center" vertical="center"/>
    </xf>
    <xf numFmtId="0" fontId="0" fillId="4" borderId="2" xfId="0" applyFill="1" applyBorder="1" applyAlignment="1">
      <alignment horizontal="center" vertical="center"/>
    </xf>
    <xf numFmtId="166" fontId="6" fillId="9" borderId="0" xfId="6" applyNumberFormat="1" applyFont="1" applyFill="1" applyAlignment="1">
      <alignment horizontal="center" vertical="center"/>
    </xf>
    <xf numFmtId="0" fontId="2" fillId="9" borderId="2" xfId="0" applyFont="1" applyFill="1" applyBorder="1" applyAlignment="1">
      <alignment horizontal="center" vertical="center"/>
    </xf>
    <xf numFmtId="0" fontId="6" fillId="9" borderId="2" xfId="4" applyFont="1" applyFill="1" applyBorder="1" applyAlignment="1">
      <alignment horizontal="center" vertical="center"/>
    </xf>
    <xf numFmtId="0" fontId="6" fillId="9" borderId="0" xfId="2" applyFont="1" applyFill="1" applyAlignment="1">
      <alignment horizontal="center" vertical="center"/>
    </xf>
    <xf numFmtId="0" fontId="0" fillId="9" borderId="2" xfId="0" applyFill="1" applyBorder="1" applyAlignment="1">
      <alignment horizontal="center" vertical="center"/>
    </xf>
    <xf numFmtId="0" fontId="0" fillId="9" borderId="2" xfId="0" applyFill="1" applyBorder="1" applyAlignment="1">
      <alignment vertical="center"/>
    </xf>
    <xf numFmtId="0" fontId="0" fillId="9" borderId="0" xfId="0" applyFill="1" applyBorder="1" applyAlignment="1">
      <alignment horizontal="center" vertical="center"/>
    </xf>
    <xf numFmtId="166" fontId="6" fillId="9" borderId="0" xfId="6" applyNumberFormat="1" applyFont="1" applyFill="1" applyBorder="1" applyAlignment="1">
      <alignment horizontal="center" vertical="center"/>
    </xf>
    <xf numFmtId="166" fontId="6" fillId="9" borderId="0" xfId="4" applyNumberFormat="1" applyFont="1" applyFill="1" applyBorder="1" applyAlignment="1">
      <alignment horizontal="center" vertical="center"/>
    </xf>
    <xf numFmtId="0" fontId="6" fillId="9" borderId="0" xfId="2" applyFont="1" applyFill="1" applyBorder="1" applyAlignment="1">
      <alignment horizontal="center" vertical="center" wrapText="1"/>
    </xf>
    <xf numFmtId="0" fontId="0" fillId="9" borderId="0" xfId="0" applyFill="1" applyBorder="1" applyAlignment="1">
      <alignment vertical="center"/>
    </xf>
    <xf numFmtId="0" fontId="2" fillId="10" borderId="2" xfId="0" applyFont="1" applyFill="1" applyBorder="1" applyAlignment="1">
      <alignment horizontal="center" vertical="center"/>
    </xf>
    <xf numFmtId="0" fontId="0" fillId="10" borderId="0" xfId="0" applyFill="1" applyBorder="1" applyAlignment="1">
      <alignment horizontal="center" vertical="center"/>
    </xf>
    <xf numFmtId="0" fontId="0" fillId="10" borderId="0" xfId="0" applyFill="1" applyBorder="1"/>
    <xf numFmtId="0" fontId="0" fillId="10" borderId="2" xfId="0" applyFill="1" applyBorder="1" applyAlignment="1">
      <alignment horizontal="center" vertical="center"/>
    </xf>
    <xf numFmtId="0" fontId="6" fillId="11" borderId="0" xfId="3" applyFont="1" applyFill="1" applyAlignment="1">
      <alignment horizontal="center" vertical="center"/>
    </xf>
    <xf numFmtId="0" fontId="6" fillId="7" borderId="0" xfId="3" applyFont="1" applyFill="1" applyAlignment="1">
      <alignment horizontal="center" vertical="center"/>
    </xf>
    <xf numFmtId="0" fontId="6" fillId="12" borderId="0" xfId="3" applyFont="1" applyFill="1" applyAlignment="1">
      <alignment horizontal="center" vertical="center"/>
    </xf>
    <xf numFmtId="0" fontId="6" fillId="9" borderId="0" xfId="3" applyFont="1" applyFill="1" applyAlignment="1">
      <alignment horizontal="center" vertical="center"/>
    </xf>
    <xf numFmtId="0" fontId="6" fillId="9" borderId="0" xfId="3" applyFont="1" applyFill="1" applyBorder="1" applyAlignment="1">
      <alignment horizontal="center" vertical="center" wrapText="1"/>
    </xf>
    <xf numFmtId="0" fontId="6" fillId="9" borderId="0" xfId="2" applyFont="1" applyFill="1" applyBorder="1" applyAlignment="1">
      <alignment horizontal="center" vertical="center"/>
    </xf>
    <xf numFmtId="166" fontId="6" fillId="10" borderId="0" xfId="4" applyNumberFormat="1" applyFont="1" applyFill="1" applyAlignment="1">
      <alignment horizontal="center" vertical="center"/>
    </xf>
    <xf numFmtId="0" fontId="6" fillId="10" borderId="0" xfId="3" applyFont="1" applyFill="1" applyAlignment="1">
      <alignment horizontal="center" vertical="center"/>
    </xf>
    <xf numFmtId="0" fontId="6" fillId="10" borderId="0" xfId="2" applyFont="1" applyFill="1" applyAlignment="1">
      <alignment horizontal="center" vertical="center"/>
    </xf>
    <xf numFmtId="166" fontId="6" fillId="10" borderId="0" xfId="4" applyNumberFormat="1" applyFont="1" applyFill="1" applyBorder="1" applyAlignment="1">
      <alignment horizontal="center" vertical="center"/>
    </xf>
    <xf numFmtId="166" fontId="6" fillId="10" borderId="0" xfId="2" applyNumberFormat="1" applyFont="1" applyFill="1" applyAlignment="1">
      <alignment horizontal="center" vertical="center"/>
    </xf>
    <xf numFmtId="0" fontId="6" fillId="10" borderId="0" xfId="2" applyFont="1" applyFill="1" applyBorder="1" applyAlignment="1">
      <alignment horizontal="center" vertical="center"/>
    </xf>
    <xf numFmtId="0" fontId="6" fillId="10" borderId="0" xfId="2" applyFont="1" applyFill="1" applyBorder="1" applyAlignment="1">
      <alignment horizontal="center" vertical="center" wrapText="1"/>
    </xf>
    <xf numFmtId="0" fontId="6" fillId="10" borderId="0" xfId="3" applyFont="1" applyFill="1" applyBorder="1" applyAlignment="1">
      <alignment horizontal="center" vertical="center" wrapText="1"/>
    </xf>
    <xf numFmtId="166" fontId="6" fillId="3" borderId="0" xfId="8" applyNumberFormat="1" applyFont="1" applyFill="1" applyAlignment="1">
      <alignment horizontal="center" vertical="center"/>
    </xf>
    <xf numFmtId="0" fontId="6" fillId="3" borderId="0" xfId="3" applyFont="1" applyFill="1" applyAlignment="1">
      <alignment horizontal="center" vertical="center"/>
    </xf>
    <xf numFmtId="0" fontId="6" fillId="3" borderId="0" xfId="2" applyFont="1" applyFill="1" applyAlignment="1">
      <alignment horizontal="center" vertical="center"/>
    </xf>
    <xf numFmtId="166" fontId="6" fillId="3" borderId="0" xfId="2" applyNumberFormat="1" applyFont="1" applyFill="1" applyBorder="1" applyAlignment="1">
      <alignment horizontal="center" vertical="center"/>
    </xf>
    <xf numFmtId="0" fontId="6" fillId="3" borderId="0" xfId="2" applyFont="1" applyFill="1" applyBorder="1" applyAlignment="1">
      <alignment horizontal="center" vertical="center"/>
    </xf>
    <xf numFmtId="0" fontId="6" fillId="3" borderId="0" xfId="2" applyFont="1" applyFill="1" applyBorder="1" applyAlignment="1">
      <alignment horizontal="center" vertical="center" wrapText="1"/>
    </xf>
    <xf numFmtId="0" fontId="6" fillId="3" borderId="0" xfId="3" applyFont="1" applyFill="1" applyBorder="1" applyAlignment="1">
      <alignment horizontal="center" vertical="center" wrapText="1"/>
    </xf>
    <xf numFmtId="166" fontId="6" fillId="5" borderId="0" xfId="10" applyNumberFormat="1" applyFont="1" applyFill="1" applyAlignment="1">
      <alignment horizontal="center" vertical="center"/>
    </xf>
    <xf numFmtId="0" fontId="6" fillId="5" borderId="0" xfId="2" applyFont="1" applyFill="1" applyAlignment="1">
      <alignment horizontal="center" vertical="center"/>
    </xf>
    <xf numFmtId="0" fontId="6" fillId="5" borderId="0" xfId="3" applyFont="1" applyFill="1" applyAlignment="1">
      <alignment horizontal="center" vertical="center"/>
    </xf>
    <xf numFmtId="166" fontId="6" fillId="4" borderId="0" xfId="10" applyNumberFormat="1" applyFont="1" applyFill="1" applyAlignment="1">
      <alignment horizontal="center" vertical="center"/>
    </xf>
    <xf numFmtId="0" fontId="6" fillId="4" borderId="0" xfId="2" applyFont="1" applyFill="1" applyAlignment="1">
      <alignment horizontal="center" vertical="center"/>
    </xf>
    <xf numFmtId="0" fontId="6" fillId="4" borderId="0" xfId="3" applyFont="1" applyFill="1" applyAlignment="1">
      <alignment horizontal="center" vertical="center"/>
    </xf>
    <xf numFmtId="0" fontId="6" fillId="4" borderId="0" xfId="2" applyFont="1" applyFill="1" applyBorder="1" applyAlignment="1">
      <alignment horizontal="center" vertical="center"/>
    </xf>
    <xf numFmtId="0" fontId="6" fillId="4" borderId="0" xfId="3" applyFont="1" applyFill="1" applyBorder="1" applyAlignment="1">
      <alignment horizontal="center" vertical="center"/>
    </xf>
    <xf numFmtId="0" fontId="2" fillId="10" borderId="0" xfId="0" applyFont="1" applyFill="1" applyAlignment="1">
      <alignment horizontal="center" vertical="center"/>
    </xf>
    <xf numFmtId="0" fontId="2" fillId="3" borderId="0" xfId="0" applyFont="1" applyFill="1" applyAlignment="1">
      <alignment horizontal="center" vertical="center"/>
    </xf>
    <xf numFmtId="0" fontId="2" fillId="5" borderId="0" xfId="0" applyFont="1" applyFill="1" applyAlignment="1">
      <alignment horizontal="center" vertical="center"/>
    </xf>
    <xf numFmtId="0" fontId="2" fillId="4" borderId="0" xfId="0" applyFont="1" applyFill="1" applyAlignment="1">
      <alignment horizontal="center" vertical="center"/>
    </xf>
    <xf numFmtId="0" fontId="2" fillId="0" borderId="2" xfId="0" applyFont="1" applyFill="1" applyBorder="1" applyAlignment="1">
      <alignment horizontal="center" vertical="center"/>
    </xf>
    <xf numFmtId="2" fontId="6" fillId="9" borderId="0" xfId="2" applyNumberFormat="1" applyFont="1" applyFill="1" applyAlignment="1">
      <alignment horizontal="center" vertical="center"/>
    </xf>
    <xf numFmtId="2" fontId="6" fillId="9" borderId="0" xfId="2" applyNumberFormat="1" applyFont="1" applyFill="1" applyBorder="1" applyAlignment="1">
      <alignment horizontal="center" vertical="center" wrapText="1"/>
    </xf>
    <xf numFmtId="2" fontId="6" fillId="10" borderId="0" xfId="2" applyNumberFormat="1" applyFont="1" applyFill="1" applyAlignment="1">
      <alignment horizontal="center" vertical="center"/>
    </xf>
    <xf numFmtId="2" fontId="6" fillId="10" borderId="0" xfId="2" applyNumberFormat="1" applyFont="1" applyFill="1" applyBorder="1" applyAlignment="1">
      <alignment horizontal="center" vertical="center" wrapText="1"/>
    </xf>
    <xf numFmtId="2" fontId="6" fillId="3" borderId="0" xfId="2" applyNumberFormat="1" applyFont="1" applyFill="1" applyAlignment="1">
      <alignment horizontal="center" vertical="center"/>
    </xf>
    <xf numFmtId="2" fontId="6" fillId="3" borderId="0" xfId="2" applyNumberFormat="1" applyFont="1" applyFill="1" applyBorder="1" applyAlignment="1">
      <alignment horizontal="center" vertical="center" wrapText="1"/>
    </xf>
    <xf numFmtId="2" fontId="6" fillId="5" borderId="0" xfId="2" applyNumberFormat="1" applyFont="1" applyFill="1" applyAlignment="1">
      <alignment horizontal="center" vertical="center"/>
    </xf>
    <xf numFmtId="2" fontId="6" fillId="4" borderId="0" xfId="2" applyNumberFormat="1" applyFont="1" applyFill="1" applyAlignment="1">
      <alignment horizontal="center" vertical="center"/>
    </xf>
    <xf numFmtId="2" fontId="6" fillId="4" borderId="0" xfId="2" applyNumberFormat="1" applyFont="1" applyFill="1" applyBorder="1" applyAlignment="1">
      <alignment horizontal="center" vertical="center"/>
    </xf>
    <xf numFmtId="0" fontId="0" fillId="7" borderId="0" xfId="0" applyFill="1" applyAlignment="1">
      <alignment horizontal="center"/>
    </xf>
    <xf numFmtId="166" fontId="6" fillId="9" borderId="2" xfId="4" applyNumberFormat="1" applyFont="1" applyFill="1" applyBorder="1" applyAlignment="1">
      <alignment horizontal="center" vertical="center"/>
    </xf>
    <xf numFmtId="166" fontId="6" fillId="3" borderId="0" xfId="2" applyNumberFormat="1" applyFont="1" applyFill="1" applyAlignment="1">
      <alignment horizontal="center" vertical="center"/>
    </xf>
    <xf numFmtId="0" fontId="6" fillId="13" borderId="2" xfId="4" applyFont="1" applyFill="1" applyBorder="1" applyAlignment="1">
      <alignment horizontal="center" vertical="center"/>
    </xf>
    <xf numFmtId="0" fontId="0" fillId="11" borderId="0" xfId="0" applyFill="1" applyAlignment="1">
      <alignment horizontal="left" vertical="center"/>
    </xf>
    <xf numFmtId="0" fontId="0" fillId="11" borderId="0" xfId="0" applyFill="1"/>
    <xf numFmtId="0" fontId="0" fillId="0" borderId="0" xfId="0" applyAlignment="1">
      <alignment horizontal="left" vertical="center"/>
    </xf>
    <xf numFmtId="0" fontId="6" fillId="0" borderId="0" xfId="0" applyFont="1" applyAlignment="1">
      <alignment horizontal="left" vertical="center" wrapText="1"/>
    </xf>
    <xf numFmtId="0" fontId="6" fillId="0" borderId="0" xfId="0" applyFont="1" applyAlignment="1">
      <alignment wrapText="1"/>
    </xf>
    <xf numFmtId="0" fontId="6" fillId="0" borderId="0" xfId="0" applyFont="1" applyAlignment="1">
      <alignment horizontal="right" wrapText="1"/>
    </xf>
    <xf numFmtId="0" fontId="6" fillId="0" borderId="0" xfId="0" applyFont="1" applyAlignment="1">
      <alignment horizontal="center" wrapText="1"/>
    </xf>
    <xf numFmtId="0" fontId="6" fillId="14" borderId="0" xfId="0" applyFont="1" applyFill="1" applyAlignment="1">
      <alignment wrapText="1"/>
    </xf>
    <xf numFmtId="0" fontId="9" fillId="15" borderId="0" xfId="0" applyFont="1" applyFill="1"/>
    <xf numFmtId="0" fontId="11" fillId="16" borderId="3" xfId="13" applyFont="1" applyFill="1" applyBorder="1" applyAlignment="1">
      <alignment horizontal="left" vertical="top" wrapText="1"/>
    </xf>
    <xf numFmtId="49" fontId="11" fillId="16" borderId="4" xfId="13" applyNumberFormat="1" applyFont="1" applyFill="1" applyBorder="1" applyAlignment="1">
      <alignment horizontal="left" vertical="top" wrapText="1"/>
    </xf>
    <xf numFmtId="0" fontId="11" fillId="16" borderId="4" xfId="13" applyFont="1" applyFill="1" applyBorder="1" applyAlignment="1">
      <alignment horizontal="left" vertical="top" wrapText="1"/>
    </xf>
    <xf numFmtId="0" fontId="10" fillId="0" borderId="0" xfId="13"/>
    <xf numFmtId="49" fontId="0" fillId="0" borderId="0" xfId="0" applyNumberFormat="1" applyAlignment="1">
      <alignment wrapText="1"/>
    </xf>
  </cellXfs>
  <cellStyles count="14">
    <cellStyle name="Normal" xfId="0" builtinId="0"/>
    <cellStyle name="Normal 2" xfId="1" xr:uid="{00000000-0005-0000-0000-000001000000}"/>
    <cellStyle name="Normal 2 2" xfId="2" xr:uid="{00000000-0005-0000-0000-000002000000}"/>
    <cellStyle name="Normal 2 3" xfId="3" xr:uid="{00000000-0005-0000-0000-000003000000}"/>
    <cellStyle name="Normal 3" xfId="4" xr:uid="{00000000-0005-0000-0000-000004000000}"/>
    <cellStyle name="Normal 3 2" xfId="5" xr:uid="{00000000-0005-0000-0000-000005000000}"/>
    <cellStyle name="Normal 4" xfId="6" xr:uid="{00000000-0005-0000-0000-000006000000}"/>
    <cellStyle name="Normal 4 2" xfId="7" xr:uid="{00000000-0005-0000-0000-000007000000}"/>
    <cellStyle name="Normal 5" xfId="8" xr:uid="{00000000-0005-0000-0000-000008000000}"/>
    <cellStyle name="Normal 5 2" xfId="9" xr:uid="{00000000-0005-0000-0000-000009000000}"/>
    <cellStyle name="Normal 6" xfId="10" xr:uid="{00000000-0005-0000-0000-00000A000000}"/>
    <cellStyle name="Normal 6 2" xfId="11" xr:uid="{00000000-0005-0000-0000-00000B000000}"/>
    <cellStyle name="Normal 7" xfId="12" xr:uid="{00000000-0005-0000-0000-00000C000000}"/>
    <cellStyle name="Normal 8" xfId="13" xr:uid="{31D569A1-4678-B840-A777-B77E2FA9F511}"/>
  </cellStyles>
  <dxfs count="121">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F4C7C3"/>
          <bgColor rgb="FFF4C7C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arah/Desktop/ubc-data-only-all-varibles-with-cleaning/winter-only-data-with%20cleaning/physical%20meas-only-without-questions/WINTERDataCollectionShe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data"/>
      <sheetName val="vars"/>
      <sheetName val="Garment Insulation"/>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O168"/>
  <sheetViews>
    <sheetView zoomScale="160" zoomScaleNormal="160" workbookViewId="0">
      <pane xSplit="1" ySplit="1" topLeftCell="AU83" activePane="bottomRight" state="frozenSplit"/>
      <selection pane="topRight" activeCell="C1" sqref="C1"/>
      <selection pane="bottomLeft" activeCell="A2" sqref="A2"/>
      <selection pane="bottomRight" activeCell="AD149" sqref="AD149"/>
    </sheetView>
  </sheetViews>
  <sheetFormatPr baseColWidth="10" defaultColWidth="11.5" defaultRowHeight="13"/>
  <cols>
    <col min="1" max="1" width="18.5" style="5" customWidth="1"/>
    <col min="2" max="2" width="18.5" style="18" customWidth="1"/>
    <col min="3" max="3" width="7.1640625" style="18" customWidth="1"/>
    <col min="4" max="4" width="7.1640625" style="5" customWidth="1"/>
    <col min="5" max="5" width="11.1640625" style="19" customWidth="1"/>
    <col min="6" max="6" width="9.1640625" style="19" customWidth="1"/>
    <col min="7" max="7" width="11.5" style="5" customWidth="1"/>
    <col min="8" max="8" width="12.1640625" style="5" customWidth="1"/>
    <col min="9" max="12" width="11.5" style="5" customWidth="1"/>
    <col min="13" max="13" width="11.5" style="6" customWidth="1"/>
    <col min="14" max="15" width="11.5" style="5" customWidth="1"/>
    <col min="16" max="16" width="12.5" style="5" customWidth="1"/>
    <col min="17" max="17" width="12.5" style="18" customWidth="1"/>
    <col min="18" max="29" width="11.5" style="5" customWidth="1"/>
    <col min="30" max="30" width="12.5" style="5" customWidth="1"/>
    <col min="31" max="31" width="11.5" style="5" customWidth="1"/>
    <col min="32" max="32" width="16.6640625" style="89" customWidth="1"/>
    <col min="33" max="63" width="11.5" customWidth="1"/>
    <col min="64" max="111" width="8.83203125"/>
    <col min="112" max="112" width="92.33203125" customWidth="1"/>
    <col min="113" max="123" width="8.83203125"/>
    <col min="124" max="16384" width="11.5" style="1"/>
  </cols>
  <sheetData>
    <row r="1" spans="1:123">
      <c r="A1" s="17" t="s">
        <v>20</v>
      </c>
      <c r="B1" s="17" t="s">
        <v>21</v>
      </c>
      <c r="C1" s="17" t="s">
        <v>5</v>
      </c>
      <c r="D1" s="17" t="s">
        <v>138</v>
      </c>
      <c r="E1" s="16" t="s">
        <v>13</v>
      </c>
      <c r="F1" s="16" t="s">
        <v>14</v>
      </c>
      <c r="G1" s="2" t="s">
        <v>12</v>
      </c>
      <c r="H1" s="2" t="s">
        <v>120</v>
      </c>
      <c r="I1" s="2" t="s">
        <v>121</v>
      </c>
      <c r="J1" s="2" t="s">
        <v>122</v>
      </c>
      <c r="K1" s="2" t="s">
        <v>123</v>
      </c>
      <c r="L1" s="40" t="s">
        <v>132</v>
      </c>
      <c r="M1" s="4" t="s">
        <v>124</v>
      </c>
      <c r="N1" s="2" t="s">
        <v>125</v>
      </c>
      <c r="O1" s="3" t="s">
        <v>126</v>
      </c>
      <c r="P1" s="20" t="s">
        <v>133</v>
      </c>
      <c r="Q1" s="21"/>
      <c r="R1" s="40" t="s">
        <v>134</v>
      </c>
      <c r="S1" s="40" t="s">
        <v>135</v>
      </c>
      <c r="T1" s="40" t="s">
        <v>136</v>
      </c>
      <c r="U1" s="41"/>
      <c r="V1" s="20" t="s">
        <v>18</v>
      </c>
      <c r="W1" s="21"/>
      <c r="X1" s="40" t="s">
        <v>127</v>
      </c>
      <c r="Y1" s="40" t="s">
        <v>128</v>
      </c>
      <c r="Z1" s="40" t="s">
        <v>129</v>
      </c>
      <c r="AA1" s="40" t="s">
        <v>130</v>
      </c>
      <c r="AB1" s="40" t="s">
        <v>131</v>
      </c>
      <c r="AC1" s="41"/>
      <c r="AD1" s="42" t="s">
        <v>137</v>
      </c>
      <c r="AE1" s="18"/>
      <c r="AF1" s="87" t="s">
        <v>140</v>
      </c>
      <c r="AG1" s="88" t="s">
        <v>141</v>
      </c>
      <c r="AH1" s="88" t="s">
        <v>142</v>
      </c>
      <c r="AI1" s="88" t="s">
        <v>143</v>
      </c>
      <c r="AJ1" s="88" t="s">
        <v>144</v>
      </c>
      <c r="AK1" s="88" t="s">
        <v>132</v>
      </c>
      <c r="AL1" s="88" t="s">
        <v>145</v>
      </c>
      <c r="AM1" s="88" t="s">
        <v>146</v>
      </c>
      <c r="AN1" s="88" t="s">
        <v>147</v>
      </c>
      <c r="AO1" s="88" t="s">
        <v>148</v>
      </c>
      <c r="AP1" s="88" t="s">
        <v>149</v>
      </c>
      <c r="AQ1" s="88" t="s">
        <v>150</v>
      </c>
      <c r="AR1" s="88" t="s">
        <v>151</v>
      </c>
      <c r="AS1" s="88" t="s">
        <v>152</v>
      </c>
      <c r="AT1" s="88" t="s">
        <v>153</v>
      </c>
      <c r="AU1" s="88" t="s">
        <v>154</v>
      </c>
      <c r="AV1" s="88" t="s">
        <v>134</v>
      </c>
      <c r="AW1" s="88" t="s">
        <v>135</v>
      </c>
      <c r="AX1" s="88" t="s">
        <v>136</v>
      </c>
      <c r="AY1" s="88" t="s">
        <v>155</v>
      </c>
      <c r="AZ1" s="88" t="s">
        <v>156</v>
      </c>
      <c r="BA1" s="88" t="s">
        <v>157</v>
      </c>
      <c r="BB1" s="88" t="s">
        <v>158</v>
      </c>
      <c r="BC1" s="88" t="s">
        <v>159</v>
      </c>
      <c r="BD1" s="88" t="s">
        <v>160</v>
      </c>
      <c r="BE1" s="88" t="s">
        <v>161</v>
      </c>
      <c r="BF1" s="88" t="s">
        <v>162</v>
      </c>
      <c r="BG1" s="88" t="s">
        <v>163</v>
      </c>
      <c r="BH1" s="88" t="s">
        <v>164</v>
      </c>
      <c r="BI1" s="88" t="s">
        <v>165</v>
      </c>
      <c r="BJ1" s="88" t="s">
        <v>166</v>
      </c>
      <c r="BK1" s="88" t="s">
        <v>167</v>
      </c>
      <c r="BL1" s="88" t="s">
        <v>11</v>
      </c>
      <c r="BM1" s="88" t="s">
        <v>6</v>
      </c>
      <c r="BN1" s="88" t="s">
        <v>168</v>
      </c>
      <c r="BO1" s="88" t="s">
        <v>169</v>
      </c>
      <c r="BP1" s="88" t="s">
        <v>170</v>
      </c>
      <c r="BQ1" s="88" t="s">
        <v>171</v>
      </c>
      <c r="BR1" s="88" t="s">
        <v>137</v>
      </c>
      <c r="BS1" s="88" t="s">
        <v>172</v>
      </c>
      <c r="BT1" s="88" t="s">
        <v>173</v>
      </c>
      <c r="BU1" s="88" t="s">
        <v>174</v>
      </c>
      <c r="BV1" s="88" t="s">
        <v>175</v>
      </c>
      <c r="BW1" s="88" t="s">
        <v>176</v>
      </c>
      <c r="BX1" s="88" t="s">
        <v>177</v>
      </c>
      <c r="BY1" s="88" t="s">
        <v>178</v>
      </c>
      <c r="BZ1" s="88" t="s">
        <v>179</v>
      </c>
      <c r="CA1" s="88" t="s">
        <v>180</v>
      </c>
      <c r="CB1" s="88" t="s">
        <v>8</v>
      </c>
      <c r="CC1" s="88" t="s">
        <v>181</v>
      </c>
      <c r="CD1" s="88" t="s">
        <v>182</v>
      </c>
      <c r="CE1" s="88" t="s">
        <v>183</v>
      </c>
      <c r="CF1" s="88" t="s">
        <v>184</v>
      </c>
      <c r="CG1" s="88" t="s">
        <v>185</v>
      </c>
      <c r="CH1" s="88" t="s">
        <v>7</v>
      </c>
      <c r="CI1" s="88" t="s">
        <v>10</v>
      </c>
      <c r="CJ1" s="88" t="s">
        <v>186</v>
      </c>
      <c r="CK1" s="88" t="s">
        <v>187</v>
      </c>
      <c r="CL1" s="88" t="s">
        <v>188</v>
      </c>
      <c r="CM1" s="88" t="s">
        <v>189</v>
      </c>
      <c r="CN1" s="88" t="s">
        <v>190</v>
      </c>
      <c r="CO1" s="88" t="s">
        <v>191</v>
      </c>
      <c r="CP1" s="88" t="s">
        <v>192</v>
      </c>
      <c r="CQ1" s="88" t="s">
        <v>193</v>
      </c>
      <c r="CR1" s="88" t="s">
        <v>194</v>
      </c>
      <c r="CS1" s="88" t="s">
        <v>195</v>
      </c>
      <c r="CT1" s="88" t="s">
        <v>196</v>
      </c>
      <c r="CU1" s="88" t="s">
        <v>197</v>
      </c>
      <c r="CV1" s="88" t="s">
        <v>198</v>
      </c>
      <c r="CW1" s="88" t="s">
        <v>199</v>
      </c>
      <c r="CX1" s="88" t="s">
        <v>200</v>
      </c>
      <c r="CY1" s="88" t="s">
        <v>9</v>
      </c>
      <c r="CZ1" s="88" t="s">
        <v>201</v>
      </c>
      <c r="DA1" s="88" t="s">
        <v>202</v>
      </c>
      <c r="DB1" s="88" t="s">
        <v>203</v>
      </c>
      <c r="DC1" s="88" t="s">
        <v>204</v>
      </c>
      <c r="DD1" s="88" t="s">
        <v>205</v>
      </c>
      <c r="DE1" s="88" t="s">
        <v>206</v>
      </c>
      <c r="DF1" s="88" t="s">
        <v>207</v>
      </c>
      <c r="DG1" s="88" t="s">
        <v>208</v>
      </c>
      <c r="DH1" s="88" t="s">
        <v>209</v>
      </c>
    </row>
    <row r="2" spans="1:123" s="30" customFormat="1" ht="12" customHeight="1">
      <c r="A2" s="25">
        <v>43661.444108796299</v>
      </c>
      <c r="B2" s="28" t="s">
        <v>22</v>
      </c>
      <c r="C2" s="26">
        <v>1</v>
      </c>
      <c r="D2" s="73" t="s">
        <v>139</v>
      </c>
      <c r="E2" s="27" t="s">
        <v>19</v>
      </c>
      <c r="F2" s="26">
        <v>10</v>
      </c>
      <c r="G2" s="28">
        <v>24.4</v>
      </c>
      <c r="H2" s="28">
        <v>57.2</v>
      </c>
      <c r="I2" s="28">
        <v>582</v>
      </c>
      <c r="J2" s="28">
        <v>0.9</v>
      </c>
      <c r="K2" s="28">
        <v>46</v>
      </c>
      <c r="L2" s="43">
        <v>0.41000000000000003</v>
      </c>
      <c r="M2" s="74">
        <v>25.21</v>
      </c>
      <c r="N2" s="28">
        <v>0.03</v>
      </c>
      <c r="O2" s="28">
        <v>41.7</v>
      </c>
      <c r="P2" s="43">
        <v>0</v>
      </c>
      <c r="Q2" s="29"/>
      <c r="R2" s="43">
        <v>1400</v>
      </c>
      <c r="S2" s="43">
        <v>1900</v>
      </c>
      <c r="T2" s="43">
        <v>603</v>
      </c>
      <c r="U2" s="29"/>
      <c r="V2" s="29">
        <f>AVERAGE(R2:S2)</f>
        <v>1650</v>
      </c>
      <c r="W2" s="31"/>
      <c r="X2" s="43">
        <v>5.8</v>
      </c>
      <c r="Y2" s="43">
        <v>0.3</v>
      </c>
      <c r="Z2" s="43">
        <v>10.3</v>
      </c>
      <c r="AA2" s="43">
        <v>10.600000000000001</v>
      </c>
      <c r="AB2" s="43">
        <v>16.400000000000002</v>
      </c>
      <c r="AC2" s="43"/>
      <c r="AD2" s="43">
        <v>6</v>
      </c>
      <c r="AE2" s="29"/>
      <c r="AF2" s="89" t="s">
        <v>210</v>
      </c>
      <c r="AG2" t="s">
        <v>211</v>
      </c>
      <c r="AH2" t="s">
        <v>212</v>
      </c>
      <c r="AI2" t="s">
        <v>212</v>
      </c>
      <c r="AJ2" t="s">
        <v>212</v>
      </c>
      <c r="AK2">
        <v>0.41000000000000003</v>
      </c>
      <c r="AL2" t="s">
        <v>213</v>
      </c>
      <c r="AM2" t="s">
        <v>214</v>
      </c>
      <c r="AN2" t="s">
        <v>215</v>
      </c>
      <c r="AO2" t="s">
        <v>216</v>
      </c>
      <c r="AP2" t="s">
        <v>217</v>
      </c>
      <c r="AQ2" t="s">
        <v>218</v>
      </c>
      <c r="AR2" t="s">
        <v>219</v>
      </c>
      <c r="AS2" t="s">
        <v>220</v>
      </c>
      <c r="AT2" t="s">
        <v>221</v>
      </c>
      <c r="AU2" t="s">
        <v>211</v>
      </c>
      <c r="AV2">
        <v>1400</v>
      </c>
      <c r="AW2">
        <v>1900</v>
      </c>
      <c r="AX2">
        <v>603</v>
      </c>
      <c r="AY2">
        <f t="shared" ref="AY2:AY65" si="0">AVERAGE(AV2:AX2)</f>
        <v>1301</v>
      </c>
      <c r="AZ2" t="s">
        <v>211</v>
      </c>
      <c r="BA2">
        <v>3.7</v>
      </c>
      <c r="BB2" t="s">
        <v>221</v>
      </c>
      <c r="BC2" t="s">
        <v>212</v>
      </c>
      <c r="BD2">
        <v>0</v>
      </c>
      <c r="BE2" t="s">
        <v>222</v>
      </c>
      <c r="BF2" t="s">
        <v>223</v>
      </c>
      <c r="BG2" t="s">
        <v>223</v>
      </c>
      <c r="BH2">
        <v>1.5</v>
      </c>
      <c r="BI2">
        <v>0.8</v>
      </c>
      <c r="BJ2">
        <v>0.8</v>
      </c>
      <c r="BK2" t="s">
        <v>221</v>
      </c>
      <c r="BL2">
        <v>1</v>
      </c>
      <c r="BM2">
        <v>3</v>
      </c>
      <c r="BN2">
        <v>4</v>
      </c>
      <c r="BO2">
        <v>2</v>
      </c>
      <c r="BP2">
        <v>2</v>
      </c>
      <c r="BQ2">
        <v>5</v>
      </c>
      <c r="BR2">
        <v>6</v>
      </c>
      <c r="BS2">
        <v>3</v>
      </c>
      <c r="BT2">
        <v>2</v>
      </c>
      <c r="BU2">
        <v>6</v>
      </c>
      <c r="BV2">
        <v>5</v>
      </c>
      <c r="BW2">
        <v>6</v>
      </c>
      <c r="BX2">
        <v>3</v>
      </c>
      <c r="BY2">
        <v>3</v>
      </c>
      <c r="BZ2">
        <v>2</v>
      </c>
      <c r="CA2">
        <v>6</v>
      </c>
      <c r="CB2">
        <v>3</v>
      </c>
      <c r="CC2">
        <v>6</v>
      </c>
      <c r="CD2">
        <v>2</v>
      </c>
      <c r="CE2">
        <v>1</v>
      </c>
      <c r="CF2">
        <v>6</v>
      </c>
      <c r="CG2">
        <v>2</v>
      </c>
      <c r="CH2">
        <v>2</v>
      </c>
      <c r="CI2">
        <v>6</v>
      </c>
      <c r="CJ2">
        <v>4</v>
      </c>
      <c r="CK2">
        <v>4</v>
      </c>
      <c r="CL2">
        <v>5</v>
      </c>
      <c r="CM2">
        <v>1</v>
      </c>
      <c r="CN2"/>
      <c r="CO2">
        <v>1</v>
      </c>
      <c r="CP2">
        <v>7</v>
      </c>
      <c r="CQ2">
        <v>6</v>
      </c>
      <c r="CR2">
        <v>1</v>
      </c>
      <c r="CS2">
        <v>1</v>
      </c>
      <c r="CT2">
        <v>7</v>
      </c>
      <c r="CU2">
        <v>6</v>
      </c>
      <c r="CV2">
        <v>2</v>
      </c>
      <c r="CW2">
        <v>3</v>
      </c>
      <c r="CX2">
        <v>2</v>
      </c>
      <c r="CY2">
        <v>6</v>
      </c>
      <c r="CZ2">
        <v>1</v>
      </c>
      <c r="DA2">
        <v>3</v>
      </c>
      <c r="DB2">
        <v>2</v>
      </c>
      <c r="DC2">
        <v>6</v>
      </c>
      <c r="DD2">
        <v>3</v>
      </c>
      <c r="DE2">
        <v>4</v>
      </c>
      <c r="DF2">
        <v>5</v>
      </c>
      <c r="DG2">
        <v>1</v>
      </c>
      <c r="DH2"/>
      <c r="DI2"/>
      <c r="DJ2"/>
      <c r="DK2"/>
      <c r="DL2"/>
      <c r="DM2"/>
      <c r="DN2"/>
      <c r="DO2"/>
      <c r="DP2"/>
      <c r="DQ2"/>
      <c r="DR2"/>
      <c r="DS2"/>
    </row>
    <row r="3" spans="1:123" s="30" customFormat="1" ht="12" customHeight="1">
      <c r="A3" s="25">
        <v>43661.458275462966</v>
      </c>
      <c r="B3" s="28" t="s">
        <v>23</v>
      </c>
      <c r="C3" s="26">
        <f t="shared" ref="C3:C66" si="1">C2+1</f>
        <v>2</v>
      </c>
      <c r="D3" s="73" t="s">
        <v>139</v>
      </c>
      <c r="E3" s="27" t="s">
        <v>19</v>
      </c>
      <c r="F3" s="26">
        <v>10</v>
      </c>
      <c r="G3" s="28">
        <v>23.5</v>
      </c>
      <c r="H3" s="28">
        <v>59.9</v>
      </c>
      <c r="I3" s="28">
        <v>606</v>
      </c>
      <c r="J3" s="28">
        <v>0.8</v>
      </c>
      <c r="K3" s="28">
        <v>40</v>
      </c>
      <c r="L3" s="43">
        <v>0.59000000000000008</v>
      </c>
      <c r="M3" s="74">
        <v>23.445</v>
      </c>
      <c r="N3" s="28">
        <v>7.0000000000000007E-2</v>
      </c>
      <c r="O3" s="28">
        <v>46.8</v>
      </c>
      <c r="P3" s="43">
        <v>0</v>
      </c>
      <c r="Q3" s="29"/>
      <c r="R3" s="43">
        <v>749</v>
      </c>
      <c r="S3" s="43">
        <v>951</v>
      </c>
      <c r="T3" s="43">
        <v>345</v>
      </c>
      <c r="U3" s="29"/>
      <c r="V3" s="29">
        <f t="shared" ref="V3:V66" si="2">AVERAGE(R3:S3)</f>
        <v>850</v>
      </c>
      <c r="W3" s="31"/>
      <c r="X3" s="43">
        <v>2.2000000000000002</v>
      </c>
      <c r="Y3" s="43">
        <v>0.5</v>
      </c>
      <c r="Z3" s="43">
        <v>9.5</v>
      </c>
      <c r="AA3" s="43">
        <v>10</v>
      </c>
      <c r="AB3" s="43">
        <v>12.2</v>
      </c>
      <c r="AC3" s="43"/>
      <c r="AD3" s="43">
        <v>7</v>
      </c>
      <c r="AE3" s="29"/>
      <c r="AF3" s="89" t="s">
        <v>210</v>
      </c>
      <c r="AG3" t="s">
        <v>211</v>
      </c>
      <c r="AH3" t="s">
        <v>212</v>
      </c>
      <c r="AI3" t="s">
        <v>212</v>
      </c>
      <c r="AJ3" t="s">
        <v>211</v>
      </c>
      <c r="AK3">
        <v>0.59000000000000008</v>
      </c>
      <c r="AL3" t="s">
        <v>213</v>
      </c>
      <c r="AM3" t="s">
        <v>214</v>
      </c>
      <c r="AN3" t="s">
        <v>215</v>
      </c>
      <c r="AO3" t="s">
        <v>216</v>
      </c>
      <c r="AP3" t="s">
        <v>217</v>
      </c>
      <c r="AQ3" t="s">
        <v>218</v>
      </c>
      <c r="AR3" t="s">
        <v>219</v>
      </c>
      <c r="AS3" t="s">
        <v>220</v>
      </c>
      <c r="AT3" t="s">
        <v>221</v>
      </c>
      <c r="AU3" t="s">
        <v>211</v>
      </c>
      <c r="AV3">
        <v>749</v>
      </c>
      <c r="AW3">
        <v>951</v>
      </c>
      <c r="AX3">
        <v>345</v>
      </c>
      <c r="AY3">
        <f t="shared" si="0"/>
        <v>681.66666666666663</v>
      </c>
      <c r="AZ3" t="s">
        <v>211</v>
      </c>
      <c r="BA3">
        <v>3.7</v>
      </c>
      <c r="BB3" t="s">
        <v>221</v>
      </c>
      <c r="BC3" t="s">
        <v>212</v>
      </c>
      <c r="BD3">
        <v>0</v>
      </c>
      <c r="BE3" t="s">
        <v>224</v>
      </c>
      <c r="BF3" t="s">
        <v>223</v>
      </c>
      <c r="BG3" t="s">
        <v>223</v>
      </c>
      <c r="BH3">
        <v>1.5</v>
      </c>
      <c r="BI3">
        <v>0.8</v>
      </c>
      <c r="BJ3">
        <v>0.8</v>
      </c>
      <c r="BK3" t="s">
        <v>221</v>
      </c>
      <c r="BL3">
        <v>1</v>
      </c>
      <c r="BM3">
        <v>4</v>
      </c>
      <c r="BN3">
        <v>4</v>
      </c>
      <c r="BO3">
        <v>1</v>
      </c>
      <c r="BP3">
        <v>1</v>
      </c>
      <c r="BQ3">
        <v>3</v>
      </c>
      <c r="BR3">
        <v>7</v>
      </c>
      <c r="BS3">
        <v>2</v>
      </c>
      <c r="BT3">
        <v>2</v>
      </c>
      <c r="BU3">
        <v>7</v>
      </c>
      <c r="BV3">
        <v>7</v>
      </c>
      <c r="BW3">
        <v>5</v>
      </c>
      <c r="BX3">
        <v>4</v>
      </c>
      <c r="BY3">
        <v>2</v>
      </c>
      <c r="BZ3">
        <v>1</v>
      </c>
      <c r="CA3">
        <v>7</v>
      </c>
      <c r="CB3">
        <v>3</v>
      </c>
      <c r="CC3">
        <v>7</v>
      </c>
      <c r="CD3">
        <v>2</v>
      </c>
      <c r="CE3">
        <v>1</v>
      </c>
      <c r="CF3">
        <v>1</v>
      </c>
      <c r="CG3">
        <v>2</v>
      </c>
      <c r="CH3">
        <v>2</v>
      </c>
      <c r="CI3">
        <v>7</v>
      </c>
      <c r="CJ3">
        <v>4</v>
      </c>
      <c r="CK3">
        <v>4</v>
      </c>
      <c r="CL3">
        <v>3</v>
      </c>
      <c r="CM3">
        <v>1</v>
      </c>
      <c r="CN3"/>
      <c r="CO3">
        <v>1</v>
      </c>
      <c r="CP3">
        <v>7</v>
      </c>
      <c r="CQ3">
        <v>5</v>
      </c>
      <c r="CR3">
        <v>1</v>
      </c>
      <c r="CS3">
        <v>1</v>
      </c>
      <c r="CT3">
        <v>6</v>
      </c>
      <c r="CU3">
        <v>7</v>
      </c>
      <c r="CV3">
        <v>2</v>
      </c>
      <c r="CW3">
        <v>2</v>
      </c>
      <c r="CX3">
        <v>2</v>
      </c>
      <c r="CY3">
        <v>7</v>
      </c>
      <c r="CZ3">
        <v>1</v>
      </c>
      <c r="DA3">
        <v>3</v>
      </c>
      <c r="DB3">
        <v>1</v>
      </c>
      <c r="DC3">
        <v>7</v>
      </c>
      <c r="DD3">
        <v>3</v>
      </c>
      <c r="DE3">
        <v>6</v>
      </c>
      <c r="DF3">
        <v>6</v>
      </c>
      <c r="DG3">
        <v>2</v>
      </c>
      <c r="DH3"/>
      <c r="DI3"/>
      <c r="DJ3"/>
      <c r="DK3"/>
      <c r="DL3"/>
      <c r="DM3"/>
      <c r="DN3"/>
      <c r="DO3"/>
      <c r="DP3"/>
      <c r="DQ3"/>
      <c r="DR3"/>
      <c r="DS3"/>
    </row>
    <row r="4" spans="1:123" s="30" customFormat="1" ht="12" customHeight="1">
      <c r="A4" s="25">
        <v>43663.419039351851</v>
      </c>
      <c r="B4" s="28" t="s">
        <v>24</v>
      </c>
      <c r="C4" s="26">
        <f t="shared" si="1"/>
        <v>3</v>
      </c>
      <c r="D4" s="73" t="s">
        <v>139</v>
      </c>
      <c r="E4" s="27" t="s">
        <v>19</v>
      </c>
      <c r="F4" s="26">
        <v>10</v>
      </c>
      <c r="G4" s="28">
        <v>21.6</v>
      </c>
      <c r="H4" s="28">
        <v>64.2</v>
      </c>
      <c r="I4" s="28">
        <v>641</v>
      </c>
      <c r="J4" s="28">
        <v>0.9</v>
      </c>
      <c r="K4" s="28">
        <v>73</v>
      </c>
      <c r="L4" s="43">
        <v>0.72</v>
      </c>
      <c r="M4" s="74">
        <v>21.305</v>
      </c>
      <c r="N4" s="28">
        <v>0.01</v>
      </c>
      <c r="O4" s="28">
        <v>54.5</v>
      </c>
      <c r="P4" s="43">
        <v>1.26</v>
      </c>
      <c r="Q4" s="29"/>
      <c r="R4" s="43">
        <v>59.1</v>
      </c>
      <c r="S4" s="43">
        <v>71</v>
      </c>
      <c r="T4" s="43">
        <v>98.5</v>
      </c>
      <c r="U4" s="29"/>
      <c r="V4" s="29">
        <f t="shared" si="2"/>
        <v>65.05</v>
      </c>
      <c r="W4" s="31"/>
      <c r="X4" s="43">
        <v>1.5</v>
      </c>
      <c r="Y4" s="43">
        <v>0.1</v>
      </c>
      <c r="Z4" s="43">
        <v>9.1999999999999993</v>
      </c>
      <c r="AA4" s="43">
        <v>9.2999999999999989</v>
      </c>
      <c r="AB4" s="43">
        <v>10.799999999999999</v>
      </c>
      <c r="AC4" s="43"/>
      <c r="AD4" s="43">
        <v>4</v>
      </c>
      <c r="AE4" s="29"/>
      <c r="AF4" s="89" t="s">
        <v>225</v>
      </c>
      <c r="AG4" t="s">
        <v>212</v>
      </c>
      <c r="AH4" t="s">
        <v>212</v>
      </c>
      <c r="AI4" t="s">
        <v>212</v>
      </c>
      <c r="AJ4" t="s">
        <v>212</v>
      </c>
      <c r="AK4">
        <v>0.72</v>
      </c>
      <c r="AL4" t="s">
        <v>226</v>
      </c>
      <c r="AM4" t="s">
        <v>219</v>
      </c>
      <c r="AN4" t="s">
        <v>215</v>
      </c>
      <c r="AO4" t="s">
        <v>216</v>
      </c>
      <c r="AP4" t="s">
        <v>217</v>
      </c>
      <c r="AQ4" t="s">
        <v>227</v>
      </c>
      <c r="AR4" t="s">
        <v>219</v>
      </c>
      <c r="AS4" t="s">
        <v>228</v>
      </c>
      <c r="AT4" t="s">
        <v>227</v>
      </c>
      <c r="AU4" t="s">
        <v>211</v>
      </c>
      <c r="AV4">
        <v>59.1</v>
      </c>
      <c r="AW4">
        <v>71</v>
      </c>
      <c r="AX4">
        <v>98.5</v>
      </c>
      <c r="AY4">
        <f t="shared" si="0"/>
        <v>76.2</v>
      </c>
      <c r="AZ4" t="s">
        <v>211</v>
      </c>
      <c r="BA4">
        <v>3.6</v>
      </c>
      <c r="BB4" t="s">
        <v>221</v>
      </c>
      <c r="BC4" t="s">
        <v>211</v>
      </c>
      <c r="BD4">
        <v>3.9</v>
      </c>
      <c r="BE4" t="s">
        <v>229</v>
      </c>
      <c r="BF4">
        <v>4.5</v>
      </c>
      <c r="BG4" t="s">
        <v>230</v>
      </c>
      <c r="BH4">
        <v>1.51</v>
      </c>
      <c r="BI4">
        <v>0.75</v>
      </c>
      <c r="BJ4">
        <v>0.84</v>
      </c>
      <c r="BK4">
        <v>1.26</v>
      </c>
      <c r="BL4">
        <v>2</v>
      </c>
      <c r="BM4">
        <v>1</v>
      </c>
      <c r="BN4">
        <v>1</v>
      </c>
      <c r="BO4">
        <v>2</v>
      </c>
      <c r="BP4">
        <v>2</v>
      </c>
      <c r="BQ4">
        <v>2</v>
      </c>
      <c r="BR4">
        <v>4</v>
      </c>
      <c r="BS4">
        <v>2</v>
      </c>
      <c r="BT4">
        <v>3</v>
      </c>
      <c r="BU4" t="s">
        <v>223</v>
      </c>
      <c r="BV4">
        <v>6</v>
      </c>
      <c r="BW4" t="s">
        <v>223</v>
      </c>
      <c r="BX4">
        <v>3</v>
      </c>
      <c r="BY4">
        <v>2</v>
      </c>
      <c r="BZ4" t="s">
        <v>223</v>
      </c>
      <c r="CA4">
        <v>6</v>
      </c>
      <c r="CB4">
        <v>2</v>
      </c>
      <c r="CC4">
        <v>3</v>
      </c>
      <c r="CD4">
        <v>2</v>
      </c>
      <c r="CE4">
        <v>1</v>
      </c>
      <c r="CF4">
        <v>4</v>
      </c>
      <c r="CG4">
        <v>2</v>
      </c>
      <c r="CH4">
        <v>1</v>
      </c>
      <c r="CI4">
        <v>5</v>
      </c>
      <c r="CJ4">
        <v>5</v>
      </c>
      <c r="CK4">
        <v>4</v>
      </c>
      <c r="CL4">
        <v>3</v>
      </c>
      <c r="CM4">
        <v>1</v>
      </c>
      <c r="CN4" t="s">
        <v>223</v>
      </c>
      <c r="CO4">
        <v>3</v>
      </c>
      <c r="CP4">
        <v>3</v>
      </c>
      <c r="CQ4">
        <v>6</v>
      </c>
      <c r="CR4">
        <v>1</v>
      </c>
      <c r="CS4">
        <v>2</v>
      </c>
      <c r="CT4">
        <v>6</v>
      </c>
      <c r="CU4">
        <v>3</v>
      </c>
      <c r="CV4">
        <v>3</v>
      </c>
      <c r="CW4">
        <v>3</v>
      </c>
      <c r="CX4" t="s">
        <v>15</v>
      </c>
      <c r="CY4">
        <v>5</v>
      </c>
      <c r="CZ4">
        <v>1</v>
      </c>
      <c r="DA4">
        <v>3</v>
      </c>
      <c r="DB4">
        <v>2</v>
      </c>
      <c r="DC4">
        <v>6</v>
      </c>
      <c r="DD4">
        <v>2</v>
      </c>
      <c r="DE4">
        <v>6</v>
      </c>
      <c r="DF4">
        <v>3</v>
      </c>
      <c r="DG4">
        <v>2</v>
      </c>
      <c r="DH4" t="s">
        <v>223</v>
      </c>
      <c r="DI4" t="s">
        <v>223</v>
      </c>
      <c r="DJ4"/>
      <c r="DK4"/>
      <c r="DL4"/>
      <c r="DM4"/>
      <c r="DN4"/>
      <c r="DO4"/>
      <c r="DP4"/>
      <c r="DQ4"/>
      <c r="DR4"/>
      <c r="DS4"/>
    </row>
    <row r="5" spans="1:123" s="30" customFormat="1" ht="12" customHeight="1">
      <c r="A5" s="25">
        <v>43663.426539351851</v>
      </c>
      <c r="B5" s="28" t="s">
        <v>25</v>
      </c>
      <c r="C5" s="26">
        <f t="shared" si="1"/>
        <v>4</v>
      </c>
      <c r="D5" s="73" t="s">
        <v>139</v>
      </c>
      <c r="E5" s="27" t="s">
        <v>19</v>
      </c>
      <c r="F5" s="26">
        <v>10</v>
      </c>
      <c r="G5" s="28">
        <v>21.6</v>
      </c>
      <c r="H5" s="28">
        <v>64.8</v>
      </c>
      <c r="I5" s="28">
        <v>646</v>
      </c>
      <c r="J5" s="28">
        <v>0.9</v>
      </c>
      <c r="K5" s="28">
        <v>68</v>
      </c>
      <c r="L5" s="43">
        <v>0.51</v>
      </c>
      <c r="M5" s="74">
        <v>21.643999999999998</v>
      </c>
      <c r="N5" s="28">
        <v>0.01</v>
      </c>
      <c r="O5" s="28">
        <v>54.2</v>
      </c>
      <c r="P5" s="43">
        <v>1.26</v>
      </c>
      <c r="Q5" s="29"/>
      <c r="R5" s="43">
        <v>324</v>
      </c>
      <c r="S5" s="43">
        <v>529</v>
      </c>
      <c r="T5" s="43">
        <v>160.9</v>
      </c>
      <c r="U5" s="29"/>
      <c r="V5" s="29">
        <f t="shared" si="2"/>
        <v>426.5</v>
      </c>
      <c r="W5" s="31"/>
      <c r="X5" s="43">
        <v>9.9</v>
      </c>
      <c r="Y5" s="43">
        <v>2.5</v>
      </c>
      <c r="Z5" s="43">
        <v>7.3</v>
      </c>
      <c r="AA5" s="43">
        <v>9.8000000000000007</v>
      </c>
      <c r="AB5" s="43">
        <v>19.700000000000003</v>
      </c>
      <c r="AC5" s="43"/>
      <c r="AD5" s="43">
        <v>5</v>
      </c>
      <c r="AE5" s="29"/>
      <c r="AF5" s="89" t="s">
        <v>225</v>
      </c>
      <c r="AG5" t="s">
        <v>212</v>
      </c>
      <c r="AH5" t="s">
        <v>212</v>
      </c>
      <c r="AI5" t="s">
        <v>212</v>
      </c>
      <c r="AJ5" t="s">
        <v>212</v>
      </c>
      <c r="AK5">
        <v>0.51</v>
      </c>
      <c r="AL5" t="s">
        <v>226</v>
      </c>
      <c r="AM5" t="s">
        <v>219</v>
      </c>
      <c r="AN5" t="s">
        <v>215</v>
      </c>
      <c r="AO5" t="s">
        <v>216</v>
      </c>
      <c r="AP5" t="s">
        <v>217</v>
      </c>
      <c r="AQ5" t="s">
        <v>227</v>
      </c>
      <c r="AR5" t="s">
        <v>219</v>
      </c>
      <c r="AS5" t="s">
        <v>228</v>
      </c>
      <c r="AT5" t="s">
        <v>227</v>
      </c>
      <c r="AU5" t="s">
        <v>211</v>
      </c>
      <c r="AV5">
        <v>324</v>
      </c>
      <c r="AW5">
        <v>529</v>
      </c>
      <c r="AX5">
        <v>160.9</v>
      </c>
      <c r="AY5">
        <f t="shared" si="0"/>
        <v>337.96666666666664</v>
      </c>
      <c r="AZ5" t="s">
        <v>211</v>
      </c>
      <c r="BA5">
        <v>3.6</v>
      </c>
      <c r="BB5">
        <v>1.6</v>
      </c>
      <c r="BC5" t="s">
        <v>211</v>
      </c>
      <c r="BD5">
        <v>0.4</v>
      </c>
      <c r="BE5" t="s">
        <v>229</v>
      </c>
      <c r="BF5">
        <v>8.08</v>
      </c>
      <c r="BG5" t="s">
        <v>230</v>
      </c>
      <c r="BH5">
        <v>1.52</v>
      </c>
      <c r="BI5">
        <v>0.61</v>
      </c>
      <c r="BJ5">
        <v>0.84</v>
      </c>
      <c r="BK5">
        <v>1.26</v>
      </c>
      <c r="BL5">
        <v>2</v>
      </c>
      <c r="BM5">
        <v>2</v>
      </c>
      <c r="BN5">
        <v>1</v>
      </c>
      <c r="BO5">
        <v>2</v>
      </c>
      <c r="BP5">
        <v>2</v>
      </c>
      <c r="BQ5">
        <v>2</v>
      </c>
      <c r="BR5">
        <v>5</v>
      </c>
      <c r="BS5">
        <v>1</v>
      </c>
      <c r="BT5">
        <v>2</v>
      </c>
      <c r="BU5" t="s">
        <v>223</v>
      </c>
      <c r="BV5">
        <v>5</v>
      </c>
      <c r="BW5" t="s">
        <v>223</v>
      </c>
      <c r="BX5">
        <v>1</v>
      </c>
      <c r="BY5">
        <v>1</v>
      </c>
      <c r="BZ5" t="s">
        <v>223</v>
      </c>
      <c r="CA5">
        <v>6</v>
      </c>
      <c r="CB5">
        <v>5</v>
      </c>
      <c r="CC5">
        <v>5</v>
      </c>
      <c r="CD5">
        <v>2</v>
      </c>
      <c r="CE5">
        <v>1</v>
      </c>
      <c r="CF5">
        <v>5</v>
      </c>
      <c r="CG5">
        <v>1</v>
      </c>
      <c r="CH5">
        <v>2</v>
      </c>
      <c r="CI5">
        <v>6</v>
      </c>
      <c r="CJ5">
        <v>5</v>
      </c>
      <c r="CK5">
        <v>3</v>
      </c>
      <c r="CL5">
        <v>4</v>
      </c>
      <c r="CM5">
        <v>2</v>
      </c>
      <c r="CN5" t="s">
        <v>223</v>
      </c>
      <c r="CO5">
        <v>1</v>
      </c>
      <c r="CP5">
        <v>6</v>
      </c>
      <c r="CQ5">
        <v>5</v>
      </c>
      <c r="CR5">
        <v>1</v>
      </c>
      <c r="CS5">
        <v>1</v>
      </c>
      <c r="CT5">
        <v>7</v>
      </c>
      <c r="CU5">
        <v>5</v>
      </c>
      <c r="CV5">
        <v>2</v>
      </c>
      <c r="CW5">
        <v>3</v>
      </c>
      <c r="CX5" t="s">
        <v>231</v>
      </c>
      <c r="CY5">
        <v>5</v>
      </c>
      <c r="CZ5">
        <v>1</v>
      </c>
      <c r="DA5">
        <v>3</v>
      </c>
      <c r="DB5">
        <v>2</v>
      </c>
      <c r="DC5">
        <v>4</v>
      </c>
      <c r="DD5">
        <v>3</v>
      </c>
      <c r="DE5">
        <v>4</v>
      </c>
      <c r="DF5">
        <v>5</v>
      </c>
      <c r="DG5">
        <v>5</v>
      </c>
      <c r="DH5" t="s">
        <v>232</v>
      </c>
      <c r="DI5"/>
      <c r="DJ5"/>
      <c r="DK5"/>
      <c r="DL5"/>
      <c r="DM5"/>
      <c r="DN5"/>
      <c r="DO5"/>
      <c r="DP5"/>
      <c r="DQ5"/>
      <c r="DR5"/>
      <c r="DS5"/>
    </row>
    <row r="6" spans="1:123" s="30" customFormat="1" ht="12" customHeight="1">
      <c r="A6" s="25">
        <v>43663.436712962961</v>
      </c>
      <c r="B6" s="28" t="s">
        <v>26</v>
      </c>
      <c r="C6" s="26">
        <f t="shared" si="1"/>
        <v>5</v>
      </c>
      <c r="D6" s="73" t="s">
        <v>139</v>
      </c>
      <c r="E6" s="27" t="s">
        <v>19</v>
      </c>
      <c r="F6" s="26">
        <v>10</v>
      </c>
      <c r="G6" s="28">
        <v>21.3</v>
      </c>
      <c r="H6" s="28">
        <v>66.5</v>
      </c>
      <c r="I6" s="28">
        <v>672</v>
      </c>
      <c r="J6" s="28">
        <v>0.9</v>
      </c>
      <c r="K6" s="28">
        <v>62</v>
      </c>
      <c r="L6" s="43">
        <v>0.59000000000000008</v>
      </c>
      <c r="M6" s="74">
        <v>21.7012</v>
      </c>
      <c r="N6" s="28">
        <v>0.01</v>
      </c>
      <c r="O6" s="28">
        <v>56.3</v>
      </c>
      <c r="P6" s="43">
        <v>1.26</v>
      </c>
      <c r="Q6" s="29"/>
      <c r="R6" s="43">
        <v>266</v>
      </c>
      <c r="S6" s="43">
        <v>159.9</v>
      </c>
      <c r="T6" s="43">
        <v>45.3</v>
      </c>
      <c r="U6" s="29"/>
      <c r="V6" s="29">
        <f t="shared" si="2"/>
        <v>212.95</v>
      </c>
      <c r="W6" s="31"/>
      <c r="X6" s="43">
        <v>4.0999999999999996</v>
      </c>
      <c r="Y6" s="43">
        <v>0.6</v>
      </c>
      <c r="Z6" s="43">
        <v>9.4</v>
      </c>
      <c r="AA6" s="43">
        <v>10</v>
      </c>
      <c r="AB6" s="43">
        <v>14.1</v>
      </c>
      <c r="AC6" s="43"/>
      <c r="AD6" s="43">
        <v>4</v>
      </c>
      <c r="AE6" s="29"/>
      <c r="AF6" s="89" t="s">
        <v>225</v>
      </c>
      <c r="AG6" t="s">
        <v>212</v>
      </c>
      <c r="AH6" t="s">
        <v>212</v>
      </c>
      <c r="AI6" t="s">
        <v>212</v>
      </c>
      <c r="AJ6" t="s">
        <v>212</v>
      </c>
      <c r="AK6">
        <v>0.59000000000000008</v>
      </c>
      <c r="AL6" t="s">
        <v>226</v>
      </c>
      <c r="AM6" t="s">
        <v>219</v>
      </c>
      <c r="AN6" t="s">
        <v>215</v>
      </c>
      <c r="AO6" t="s">
        <v>216</v>
      </c>
      <c r="AP6" t="s">
        <v>217</v>
      </c>
      <c r="AQ6" t="s">
        <v>227</v>
      </c>
      <c r="AR6" t="s">
        <v>219</v>
      </c>
      <c r="AS6" t="s">
        <v>228</v>
      </c>
      <c r="AT6" t="s">
        <v>227</v>
      </c>
      <c r="AU6" t="s">
        <v>211</v>
      </c>
      <c r="AV6">
        <v>266</v>
      </c>
      <c r="AW6">
        <v>159.9</v>
      </c>
      <c r="AX6">
        <v>45.3</v>
      </c>
      <c r="AY6">
        <f t="shared" si="0"/>
        <v>157.06666666666666</v>
      </c>
      <c r="AZ6" t="s">
        <v>211</v>
      </c>
      <c r="BA6">
        <v>3.6</v>
      </c>
      <c r="BB6">
        <v>2.44</v>
      </c>
      <c r="BC6" t="s">
        <v>211</v>
      </c>
      <c r="BD6">
        <v>2.46</v>
      </c>
      <c r="BE6" t="s">
        <v>229</v>
      </c>
      <c r="BF6">
        <v>6.78</v>
      </c>
      <c r="BG6" t="s">
        <v>230</v>
      </c>
      <c r="BH6">
        <v>1.52</v>
      </c>
      <c r="BI6">
        <v>0.61</v>
      </c>
      <c r="BJ6">
        <v>0.84</v>
      </c>
      <c r="BK6">
        <v>1.26</v>
      </c>
      <c r="BL6">
        <v>1</v>
      </c>
      <c r="BM6">
        <v>1</v>
      </c>
      <c r="BN6">
        <v>1</v>
      </c>
      <c r="BO6">
        <v>1</v>
      </c>
      <c r="BP6">
        <v>2</v>
      </c>
      <c r="BQ6">
        <v>2</v>
      </c>
      <c r="BR6">
        <v>4</v>
      </c>
      <c r="BS6">
        <v>2</v>
      </c>
      <c r="BT6">
        <v>2</v>
      </c>
      <c r="BU6">
        <v>4</v>
      </c>
      <c r="BV6">
        <v>4</v>
      </c>
      <c r="BW6" t="s">
        <v>223</v>
      </c>
      <c r="BX6">
        <v>2</v>
      </c>
      <c r="BY6">
        <v>2</v>
      </c>
      <c r="BZ6" t="s">
        <v>223</v>
      </c>
      <c r="CA6">
        <v>4</v>
      </c>
      <c r="CB6">
        <v>4</v>
      </c>
      <c r="CC6">
        <v>4</v>
      </c>
      <c r="CD6">
        <v>2</v>
      </c>
      <c r="CE6">
        <v>1</v>
      </c>
      <c r="CF6">
        <v>4</v>
      </c>
      <c r="CG6">
        <v>1</v>
      </c>
      <c r="CH6">
        <v>2</v>
      </c>
      <c r="CI6">
        <v>3</v>
      </c>
      <c r="CJ6">
        <v>5</v>
      </c>
      <c r="CK6">
        <v>4</v>
      </c>
      <c r="CL6">
        <v>4</v>
      </c>
      <c r="CM6">
        <v>1</v>
      </c>
      <c r="CN6" t="s">
        <v>223</v>
      </c>
      <c r="CO6">
        <v>2</v>
      </c>
      <c r="CP6">
        <v>4</v>
      </c>
      <c r="CQ6">
        <v>5</v>
      </c>
      <c r="CR6">
        <v>1</v>
      </c>
      <c r="CS6">
        <v>1</v>
      </c>
      <c r="CT6">
        <v>4</v>
      </c>
      <c r="CU6">
        <v>4</v>
      </c>
      <c r="CV6">
        <v>3</v>
      </c>
      <c r="CW6">
        <v>3</v>
      </c>
      <c r="CX6" t="s">
        <v>231</v>
      </c>
      <c r="CY6">
        <v>6</v>
      </c>
      <c r="CZ6">
        <v>1</v>
      </c>
      <c r="DA6">
        <v>3</v>
      </c>
      <c r="DB6">
        <v>3</v>
      </c>
      <c r="DC6">
        <v>6</v>
      </c>
      <c r="DD6">
        <v>3</v>
      </c>
      <c r="DE6">
        <v>4</v>
      </c>
      <c r="DF6">
        <v>5</v>
      </c>
      <c r="DG6">
        <v>1</v>
      </c>
      <c r="DH6" t="s">
        <v>233</v>
      </c>
      <c r="DI6" t="s">
        <v>223</v>
      </c>
      <c r="DJ6"/>
      <c r="DK6"/>
      <c r="DL6"/>
      <c r="DM6"/>
      <c r="DN6"/>
      <c r="DO6"/>
      <c r="DP6"/>
      <c r="DQ6"/>
      <c r="DR6"/>
      <c r="DS6"/>
    </row>
    <row r="7" spans="1:123" s="30" customFormat="1" ht="12" customHeight="1">
      <c r="A7" s="25">
        <v>43663.464074074072</v>
      </c>
      <c r="B7" s="28" t="s">
        <v>27</v>
      </c>
      <c r="C7" s="26">
        <f t="shared" si="1"/>
        <v>6</v>
      </c>
      <c r="D7" s="73" t="s">
        <v>139</v>
      </c>
      <c r="E7" s="27" t="s">
        <v>19</v>
      </c>
      <c r="F7" s="26">
        <v>10</v>
      </c>
      <c r="G7" s="28">
        <v>22.7</v>
      </c>
      <c r="H7" s="28">
        <v>60.5</v>
      </c>
      <c r="I7" s="28">
        <v>584</v>
      </c>
      <c r="J7" s="28">
        <v>0.9</v>
      </c>
      <c r="K7" s="28">
        <v>55</v>
      </c>
      <c r="L7" s="43">
        <v>0.54</v>
      </c>
      <c r="M7" s="74">
        <v>23.177700000000002</v>
      </c>
      <c r="N7" s="28">
        <v>0.01</v>
      </c>
      <c r="O7" s="28">
        <v>42.3</v>
      </c>
      <c r="P7" s="43">
        <v>1.36</v>
      </c>
      <c r="Q7" s="29"/>
      <c r="R7" s="43">
        <v>236</v>
      </c>
      <c r="S7" s="43">
        <v>240</v>
      </c>
      <c r="T7" s="43">
        <v>218</v>
      </c>
      <c r="U7" s="29"/>
      <c r="V7" s="29">
        <f t="shared" si="2"/>
        <v>238</v>
      </c>
      <c r="W7" s="31"/>
      <c r="X7" s="43">
        <v>5.0999999999999996</v>
      </c>
      <c r="Y7" s="43">
        <v>1.1000000000000001</v>
      </c>
      <c r="Z7" s="43">
        <v>22.2</v>
      </c>
      <c r="AA7" s="43">
        <v>23.3</v>
      </c>
      <c r="AB7" s="43">
        <v>28.4</v>
      </c>
      <c r="AC7" s="43"/>
      <c r="AD7" s="43">
        <v>4</v>
      </c>
      <c r="AE7" s="29"/>
      <c r="AF7" s="89" t="s">
        <v>225</v>
      </c>
      <c r="AG7" t="s">
        <v>212</v>
      </c>
      <c r="AH7" t="s">
        <v>212</v>
      </c>
      <c r="AI7" t="s">
        <v>212</v>
      </c>
      <c r="AJ7" t="s">
        <v>211</v>
      </c>
      <c r="AK7">
        <v>0.54</v>
      </c>
      <c r="AL7" t="s">
        <v>226</v>
      </c>
      <c r="AM7" t="s">
        <v>228</v>
      </c>
      <c r="AN7" t="s">
        <v>215</v>
      </c>
      <c r="AO7" t="s">
        <v>234</v>
      </c>
      <c r="AP7" t="s">
        <v>217</v>
      </c>
      <c r="AQ7" t="s">
        <v>227</v>
      </c>
      <c r="AR7" t="s">
        <v>219</v>
      </c>
      <c r="AS7" t="s">
        <v>228</v>
      </c>
      <c r="AT7" t="s">
        <v>227</v>
      </c>
      <c r="AU7" t="s">
        <v>211</v>
      </c>
      <c r="AV7">
        <v>236</v>
      </c>
      <c r="AW7">
        <v>240</v>
      </c>
      <c r="AX7">
        <v>218</v>
      </c>
      <c r="AY7">
        <f t="shared" si="0"/>
        <v>231.33333333333334</v>
      </c>
      <c r="AZ7" t="s">
        <v>211</v>
      </c>
      <c r="BA7">
        <v>3.7</v>
      </c>
      <c r="BB7">
        <v>0.1</v>
      </c>
      <c r="BC7" t="s">
        <v>211</v>
      </c>
      <c r="BD7">
        <v>3</v>
      </c>
      <c r="BE7" t="s">
        <v>229</v>
      </c>
      <c r="BF7" t="s">
        <v>221</v>
      </c>
      <c r="BG7" t="s">
        <v>221</v>
      </c>
      <c r="BH7">
        <v>1.82</v>
      </c>
      <c r="BI7">
        <v>0.6</v>
      </c>
      <c r="BJ7">
        <v>0.85</v>
      </c>
      <c r="BK7">
        <v>1.36</v>
      </c>
      <c r="BL7">
        <v>1</v>
      </c>
      <c r="BM7">
        <v>3</v>
      </c>
      <c r="BN7">
        <v>3</v>
      </c>
      <c r="BO7">
        <v>2</v>
      </c>
      <c r="BP7">
        <v>2</v>
      </c>
      <c r="BQ7">
        <v>5</v>
      </c>
      <c r="BR7">
        <v>4</v>
      </c>
      <c r="BS7">
        <v>3</v>
      </c>
      <c r="BT7">
        <v>2</v>
      </c>
      <c r="BU7">
        <v>4</v>
      </c>
      <c r="BV7">
        <v>3</v>
      </c>
      <c r="BW7">
        <v>5</v>
      </c>
      <c r="BX7">
        <v>4</v>
      </c>
      <c r="BY7">
        <v>3</v>
      </c>
      <c r="BZ7">
        <v>2</v>
      </c>
      <c r="CA7">
        <v>4</v>
      </c>
      <c r="CB7">
        <v>3</v>
      </c>
      <c r="CC7">
        <v>3</v>
      </c>
      <c r="CD7">
        <v>2</v>
      </c>
      <c r="CE7">
        <v>1</v>
      </c>
      <c r="CF7">
        <v>4</v>
      </c>
      <c r="CG7">
        <v>1</v>
      </c>
      <c r="CH7">
        <v>2</v>
      </c>
      <c r="CI7">
        <v>7</v>
      </c>
      <c r="CJ7">
        <v>6</v>
      </c>
      <c r="CK7">
        <v>6</v>
      </c>
      <c r="CL7">
        <v>4</v>
      </c>
      <c r="CM7">
        <v>1</v>
      </c>
      <c r="CN7" t="s">
        <v>223</v>
      </c>
      <c r="CO7">
        <v>1</v>
      </c>
      <c r="CP7">
        <v>7</v>
      </c>
      <c r="CQ7">
        <v>7</v>
      </c>
      <c r="CR7">
        <v>1</v>
      </c>
      <c r="CS7">
        <v>2</v>
      </c>
      <c r="CT7">
        <v>7</v>
      </c>
      <c r="CU7">
        <v>7</v>
      </c>
      <c r="CV7">
        <v>2</v>
      </c>
      <c r="CW7">
        <v>3</v>
      </c>
      <c r="CX7" t="s">
        <v>235</v>
      </c>
      <c r="CY7">
        <v>5</v>
      </c>
      <c r="CZ7">
        <v>1</v>
      </c>
      <c r="DA7">
        <v>3</v>
      </c>
      <c r="DB7">
        <v>2</v>
      </c>
      <c r="DC7">
        <v>7</v>
      </c>
      <c r="DD7">
        <v>3</v>
      </c>
      <c r="DE7">
        <v>7</v>
      </c>
      <c r="DF7">
        <v>5</v>
      </c>
      <c r="DG7">
        <v>4</v>
      </c>
      <c r="DH7" t="s">
        <v>236</v>
      </c>
      <c r="DI7" t="s">
        <v>223</v>
      </c>
      <c r="DJ7"/>
      <c r="DK7"/>
      <c r="DL7"/>
      <c r="DM7"/>
      <c r="DN7"/>
      <c r="DO7"/>
      <c r="DP7"/>
      <c r="DQ7"/>
      <c r="DR7"/>
      <c r="DS7"/>
    </row>
    <row r="8" spans="1:123" s="30" customFormat="1" ht="12" customHeight="1">
      <c r="A8" s="25">
        <v>43663.470578703702</v>
      </c>
      <c r="B8" s="28" t="s">
        <v>28</v>
      </c>
      <c r="C8" s="26">
        <f t="shared" si="1"/>
        <v>7</v>
      </c>
      <c r="D8" s="73" t="s">
        <v>139</v>
      </c>
      <c r="E8" s="27" t="s">
        <v>19</v>
      </c>
      <c r="F8" s="26">
        <v>10</v>
      </c>
      <c r="G8" s="28">
        <v>23</v>
      </c>
      <c r="H8" s="28">
        <v>59.1</v>
      </c>
      <c r="I8" s="28">
        <v>579</v>
      </c>
      <c r="J8" s="28">
        <v>0.9</v>
      </c>
      <c r="K8" s="28">
        <v>51</v>
      </c>
      <c r="L8" s="43">
        <v>0.51</v>
      </c>
      <c r="M8" s="74">
        <v>22.5183</v>
      </c>
      <c r="N8" s="28">
        <v>0.01</v>
      </c>
      <c r="O8" s="28">
        <v>52.9</v>
      </c>
      <c r="P8" s="43">
        <v>1.26</v>
      </c>
      <c r="Q8" s="29"/>
      <c r="R8" s="43">
        <v>232</v>
      </c>
      <c r="S8" s="43">
        <v>760</v>
      </c>
      <c r="T8" s="43">
        <v>144</v>
      </c>
      <c r="U8" s="29"/>
      <c r="V8" s="29">
        <f t="shared" si="2"/>
        <v>496</v>
      </c>
      <c r="W8" s="31"/>
      <c r="X8" s="43">
        <v>2.8</v>
      </c>
      <c r="Y8" s="43">
        <v>0.3</v>
      </c>
      <c r="Z8" s="43">
        <v>7.5</v>
      </c>
      <c r="AA8" s="43">
        <v>7.8</v>
      </c>
      <c r="AB8" s="43">
        <v>10.6</v>
      </c>
      <c r="AC8" s="43"/>
      <c r="AD8" s="43">
        <v>6</v>
      </c>
      <c r="AE8" s="29"/>
      <c r="AF8" s="89" t="s">
        <v>225</v>
      </c>
      <c r="AG8" t="s">
        <v>212</v>
      </c>
      <c r="AH8" t="s">
        <v>212</v>
      </c>
      <c r="AI8" t="s">
        <v>212</v>
      </c>
      <c r="AJ8" t="s">
        <v>211</v>
      </c>
      <c r="AK8">
        <v>0.51</v>
      </c>
      <c r="AL8" t="s">
        <v>226</v>
      </c>
      <c r="AM8" t="s">
        <v>219</v>
      </c>
      <c r="AN8" t="s">
        <v>215</v>
      </c>
      <c r="AO8" t="s">
        <v>216</v>
      </c>
      <c r="AP8" t="s">
        <v>217</v>
      </c>
      <c r="AQ8" t="s">
        <v>227</v>
      </c>
      <c r="AR8" t="s">
        <v>219</v>
      </c>
      <c r="AS8" t="s">
        <v>219</v>
      </c>
      <c r="AT8" t="s">
        <v>227</v>
      </c>
      <c r="AU8" t="s">
        <v>211</v>
      </c>
      <c r="AV8">
        <v>232</v>
      </c>
      <c r="AW8">
        <v>760</v>
      </c>
      <c r="AX8">
        <v>144</v>
      </c>
      <c r="AY8">
        <f t="shared" si="0"/>
        <v>378.66666666666669</v>
      </c>
      <c r="AZ8" t="s">
        <v>211</v>
      </c>
      <c r="BA8">
        <v>3.09</v>
      </c>
      <c r="BB8">
        <v>0.1</v>
      </c>
      <c r="BC8" t="s">
        <v>212</v>
      </c>
      <c r="BD8">
        <v>1.4</v>
      </c>
      <c r="BE8" t="s">
        <v>230</v>
      </c>
      <c r="BF8" t="s">
        <v>221</v>
      </c>
      <c r="BG8" t="s">
        <v>221</v>
      </c>
      <c r="BH8">
        <v>1.8</v>
      </c>
      <c r="BI8">
        <v>0.76</v>
      </c>
      <c r="BJ8">
        <v>0.76</v>
      </c>
      <c r="BK8">
        <v>1.26</v>
      </c>
      <c r="BL8">
        <v>2</v>
      </c>
      <c r="BM8">
        <v>4</v>
      </c>
      <c r="BN8">
        <v>2</v>
      </c>
      <c r="BO8">
        <v>2</v>
      </c>
      <c r="BP8">
        <v>2</v>
      </c>
      <c r="BQ8">
        <v>2</v>
      </c>
      <c r="BR8">
        <v>6</v>
      </c>
      <c r="BS8">
        <v>2</v>
      </c>
      <c r="BT8">
        <v>1</v>
      </c>
      <c r="BU8" t="s">
        <v>223</v>
      </c>
      <c r="BV8" t="s">
        <v>223</v>
      </c>
      <c r="BW8" t="s">
        <v>223</v>
      </c>
      <c r="BX8">
        <v>1</v>
      </c>
      <c r="BY8" t="s">
        <v>223</v>
      </c>
      <c r="BZ8" t="s">
        <v>223</v>
      </c>
      <c r="CA8">
        <v>6</v>
      </c>
      <c r="CB8">
        <v>6</v>
      </c>
      <c r="CC8">
        <v>6</v>
      </c>
      <c r="CD8">
        <v>2</v>
      </c>
      <c r="CE8">
        <v>1</v>
      </c>
      <c r="CF8">
        <v>5</v>
      </c>
      <c r="CG8">
        <v>1</v>
      </c>
      <c r="CH8">
        <v>2</v>
      </c>
      <c r="CI8">
        <v>6</v>
      </c>
      <c r="CJ8">
        <v>3</v>
      </c>
      <c r="CK8">
        <v>6</v>
      </c>
      <c r="CL8">
        <v>3</v>
      </c>
      <c r="CM8">
        <v>1</v>
      </c>
      <c r="CN8" t="s">
        <v>223</v>
      </c>
      <c r="CO8">
        <v>1</v>
      </c>
      <c r="CP8">
        <v>7</v>
      </c>
      <c r="CQ8">
        <v>6</v>
      </c>
      <c r="CR8">
        <v>1</v>
      </c>
      <c r="CS8">
        <v>1</v>
      </c>
      <c r="CT8">
        <v>6</v>
      </c>
      <c r="CU8">
        <v>6</v>
      </c>
      <c r="CV8">
        <v>2</v>
      </c>
      <c r="CW8">
        <v>1</v>
      </c>
      <c r="CX8" t="s">
        <v>237</v>
      </c>
      <c r="CY8">
        <v>6</v>
      </c>
      <c r="CZ8">
        <v>1</v>
      </c>
      <c r="DA8">
        <v>3</v>
      </c>
      <c r="DB8">
        <v>3</v>
      </c>
      <c r="DC8">
        <v>6</v>
      </c>
      <c r="DD8">
        <v>3</v>
      </c>
      <c r="DE8">
        <v>6</v>
      </c>
      <c r="DF8">
        <v>6</v>
      </c>
      <c r="DG8">
        <v>2</v>
      </c>
      <c r="DH8" t="s">
        <v>238</v>
      </c>
      <c r="DI8" t="s">
        <v>223</v>
      </c>
      <c r="DJ8"/>
      <c r="DK8"/>
      <c r="DL8"/>
      <c r="DM8"/>
      <c r="DN8"/>
      <c r="DO8"/>
      <c r="DP8"/>
      <c r="DQ8"/>
      <c r="DR8"/>
      <c r="DS8"/>
    </row>
    <row r="9" spans="1:123" s="30" customFormat="1" ht="12" customHeight="1">
      <c r="A9" s="25">
        <v>43663.490115740744</v>
      </c>
      <c r="B9" s="28" t="s">
        <v>29</v>
      </c>
      <c r="C9" s="26">
        <f t="shared" si="1"/>
        <v>8</v>
      </c>
      <c r="D9" s="73" t="s">
        <v>139</v>
      </c>
      <c r="E9" s="27" t="s">
        <v>19</v>
      </c>
      <c r="F9" s="26">
        <v>10</v>
      </c>
      <c r="G9" s="28">
        <v>22.2</v>
      </c>
      <c r="H9" s="28">
        <v>61.7</v>
      </c>
      <c r="I9" s="28">
        <v>556</v>
      </c>
      <c r="J9" s="28">
        <v>0.8</v>
      </c>
      <c r="K9" s="28">
        <v>46</v>
      </c>
      <c r="L9" s="43">
        <v>0.9</v>
      </c>
      <c r="M9" s="74">
        <v>22.394400000000001</v>
      </c>
      <c r="N9" s="28">
        <v>0.03</v>
      </c>
      <c r="O9" s="28">
        <v>46.1</v>
      </c>
      <c r="P9" s="43">
        <v>1.47</v>
      </c>
      <c r="Q9" s="29"/>
      <c r="R9" s="43">
        <v>788</v>
      </c>
      <c r="S9" s="43">
        <v>580</v>
      </c>
      <c r="T9" s="43">
        <v>451</v>
      </c>
      <c r="U9" s="29"/>
      <c r="V9" s="29">
        <f t="shared" si="2"/>
        <v>684</v>
      </c>
      <c r="W9" s="31"/>
      <c r="X9" s="43">
        <v>7.6</v>
      </c>
      <c r="Y9" s="43">
        <v>0.1</v>
      </c>
      <c r="Z9" s="43">
        <v>9.1</v>
      </c>
      <c r="AA9" s="43">
        <v>9.1999999999999993</v>
      </c>
      <c r="AB9" s="43">
        <v>16.799999999999997</v>
      </c>
      <c r="AC9" s="43"/>
      <c r="AD9" s="43">
        <v>7</v>
      </c>
      <c r="AE9" s="29"/>
      <c r="AF9" s="89" t="s">
        <v>225</v>
      </c>
      <c r="AG9" t="s">
        <v>212</v>
      </c>
      <c r="AH9" t="s">
        <v>212</v>
      </c>
      <c r="AI9" t="s">
        <v>212</v>
      </c>
      <c r="AJ9" t="s">
        <v>211</v>
      </c>
      <c r="AK9">
        <v>0.9</v>
      </c>
      <c r="AL9" t="s">
        <v>226</v>
      </c>
      <c r="AM9" t="s">
        <v>219</v>
      </c>
      <c r="AN9" t="s">
        <v>215</v>
      </c>
      <c r="AO9" t="s">
        <v>216</v>
      </c>
      <c r="AP9" t="s">
        <v>217</v>
      </c>
      <c r="AQ9" t="s">
        <v>227</v>
      </c>
      <c r="AR9" t="s">
        <v>219</v>
      </c>
      <c r="AS9" t="s">
        <v>239</v>
      </c>
      <c r="AT9" t="s">
        <v>227</v>
      </c>
      <c r="AU9" t="s">
        <v>211</v>
      </c>
      <c r="AV9">
        <v>788</v>
      </c>
      <c r="AW9">
        <v>580</v>
      </c>
      <c r="AX9">
        <v>451</v>
      </c>
      <c r="AY9">
        <f t="shared" si="0"/>
        <v>606.33333333333337</v>
      </c>
      <c r="AZ9" t="s">
        <v>211</v>
      </c>
      <c r="BA9">
        <v>3.53</v>
      </c>
      <c r="BB9" t="s">
        <v>221</v>
      </c>
      <c r="BC9" t="s">
        <v>211</v>
      </c>
      <c r="BD9">
        <v>0.3</v>
      </c>
      <c r="BE9" t="s">
        <v>229</v>
      </c>
      <c r="BF9" t="s">
        <v>221</v>
      </c>
      <c r="BG9" t="s">
        <v>221</v>
      </c>
      <c r="BH9">
        <v>1.52</v>
      </c>
      <c r="BI9">
        <v>0.76</v>
      </c>
      <c r="BJ9">
        <v>0.77</v>
      </c>
      <c r="BK9">
        <v>1.47</v>
      </c>
      <c r="BL9">
        <v>1</v>
      </c>
      <c r="BM9">
        <v>2</v>
      </c>
      <c r="BN9">
        <v>4</v>
      </c>
      <c r="BO9">
        <v>2</v>
      </c>
      <c r="BP9">
        <v>2</v>
      </c>
      <c r="BQ9">
        <v>4</v>
      </c>
      <c r="BR9">
        <v>7</v>
      </c>
      <c r="BS9">
        <v>2</v>
      </c>
      <c r="BT9">
        <v>1</v>
      </c>
      <c r="BU9">
        <v>7</v>
      </c>
      <c r="BV9">
        <v>6</v>
      </c>
      <c r="BW9">
        <v>7</v>
      </c>
      <c r="BX9">
        <v>4</v>
      </c>
      <c r="BY9">
        <v>3</v>
      </c>
      <c r="BZ9">
        <v>2</v>
      </c>
      <c r="CA9">
        <v>5</v>
      </c>
      <c r="CB9">
        <v>3</v>
      </c>
      <c r="CC9">
        <v>4</v>
      </c>
      <c r="CD9">
        <v>1</v>
      </c>
      <c r="CE9">
        <v>1</v>
      </c>
      <c r="CF9">
        <v>7</v>
      </c>
      <c r="CG9">
        <v>1</v>
      </c>
      <c r="CH9">
        <v>2</v>
      </c>
      <c r="CI9">
        <v>7</v>
      </c>
      <c r="CJ9">
        <v>3</v>
      </c>
      <c r="CK9">
        <v>3</v>
      </c>
      <c r="CL9">
        <v>3</v>
      </c>
      <c r="CM9">
        <v>1</v>
      </c>
      <c r="CN9" t="s">
        <v>223</v>
      </c>
      <c r="CO9">
        <v>1</v>
      </c>
      <c r="CP9">
        <v>7</v>
      </c>
      <c r="CQ9">
        <v>7</v>
      </c>
      <c r="CR9">
        <v>1</v>
      </c>
      <c r="CS9">
        <v>1</v>
      </c>
      <c r="CT9">
        <v>6</v>
      </c>
      <c r="CU9">
        <v>7</v>
      </c>
      <c r="CV9">
        <v>2</v>
      </c>
      <c r="CW9">
        <v>3</v>
      </c>
      <c r="CX9" t="s">
        <v>15</v>
      </c>
      <c r="CY9">
        <v>7</v>
      </c>
      <c r="CZ9">
        <v>1</v>
      </c>
      <c r="DA9">
        <v>3</v>
      </c>
      <c r="DB9">
        <v>1</v>
      </c>
      <c r="DC9">
        <v>6</v>
      </c>
      <c r="DD9">
        <v>3</v>
      </c>
      <c r="DE9">
        <v>4</v>
      </c>
      <c r="DF9">
        <v>6</v>
      </c>
      <c r="DG9">
        <v>6</v>
      </c>
      <c r="DH9" t="s">
        <v>240</v>
      </c>
      <c r="DI9" t="s">
        <v>223</v>
      </c>
      <c r="DJ9"/>
      <c r="DK9"/>
      <c r="DL9"/>
      <c r="DM9"/>
      <c r="DN9"/>
      <c r="DO9"/>
      <c r="DP9"/>
      <c r="DQ9"/>
      <c r="DR9"/>
      <c r="DS9"/>
    </row>
    <row r="10" spans="1:123" s="30" customFormat="1" ht="12" customHeight="1">
      <c r="A10" s="32">
        <v>43663.496342592596</v>
      </c>
      <c r="B10" s="28" t="s">
        <v>30</v>
      </c>
      <c r="C10" s="26">
        <f t="shared" si="1"/>
        <v>9</v>
      </c>
      <c r="D10" s="73" t="s">
        <v>139</v>
      </c>
      <c r="E10" s="27" t="s">
        <v>19</v>
      </c>
      <c r="F10" s="26">
        <v>10</v>
      </c>
      <c r="G10" s="28">
        <v>21.9</v>
      </c>
      <c r="H10" s="28">
        <v>62</v>
      </c>
      <c r="I10" s="28">
        <v>510</v>
      </c>
      <c r="J10" s="28">
        <v>0.8</v>
      </c>
      <c r="K10" s="28">
        <v>46</v>
      </c>
      <c r="L10" s="43">
        <v>0.54</v>
      </c>
      <c r="M10" s="74">
        <v>21.465800000000002</v>
      </c>
      <c r="N10" s="28">
        <v>0</v>
      </c>
      <c r="O10" s="28">
        <v>44.2</v>
      </c>
      <c r="P10" s="43">
        <v>0</v>
      </c>
      <c r="Q10" s="29"/>
      <c r="R10" s="43">
        <v>256</v>
      </c>
      <c r="S10" s="43">
        <v>277</v>
      </c>
      <c r="T10" s="43">
        <v>162</v>
      </c>
      <c r="U10" s="29"/>
      <c r="V10" s="29">
        <f t="shared" si="2"/>
        <v>266.5</v>
      </c>
      <c r="W10" s="31"/>
      <c r="X10" s="43">
        <v>2.9</v>
      </c>
      <c r="Y10" s="43">
        <v>0</v>
      </c>
      <c r="Z10" s="43">
        <v>0.3</v>
      </c>
      <c r="AA10" s="43">
        <v>0.3</v>
      </c>
      <c r="AB10" s="43">
        <v>3.1999999999999997</v>
      </c>
      <c r="AC10" s="43"/>
      <c r="AD10" s="43">
        <v>6</v>
      </c>
      <c r="AE10" s="29"/>
      <c r="AF10" s="89" t="s">
        <v>225</v>
      </c>
      <c r="AG10" t="s">
        <v>212</v>
      </c>
      <c r="AH10" t="s">
        <v>212</v>
      </c>
      <c r="AI10" t="s">
        <v>212</v>
      </c>
      <c r="AJ10" t="s">
        <v>212</v>
      </c>
      <c r="AK10">
        <v>0.54</v>
      </c>
      <c r="AL10" t="s">
        <v>226</v>
      </c>
      <c r="AM10" t="s">
        <v>219</v>
      </c>
      <c r="AN10" t="s">
        <v>215</v>
      </c>
      <c r="AO10" t="s">
        <v>216</v>
      </c>
      <c r="AP10" t="s">
        <v>217</v>
      </c>
      <c r="AQ10" t="s">
        <v>227</v>
      </c>
      <c r="AR10" t="s">
        <v>219</v>
      </c>
      <c r="AS10" t="s">
        <v>219</v>
      </c>
      <c r="AT10" t="s">
        <v>221</v>
      </c>
      <c r="AU10" t="s">
        <v>211</v>
      </c>
      <c r="AV10">
        <v>256</v>
      </c>
      <c r="AW10">
        <v>277</v>
      </c>
      <c r="AX10">
        <v>162</v>
      </c>
      <c r="AY10">
        <f t="shared" si="0"/>
        <v>231.66666666666666</v>
      </c>
      <c r="AZ10" t="s">
        <v>211</v>
      </c>
      <c r="BA10">
        <v>2.74</v>
      </c>
      <c r="BB10" t="s">
        <v>221</v>
      </c>
      <c r="BC10" t="s">
        <v>211</v>
      </c>
      <c r="BD10">
        <v>2.8</v>
      </c>
      <c r="BE10" t="s">
        <v>229</v>
      </c>
      <c r="BF10" t="s">
        <v>221</v>
      </c>
      <c r="BG10" t="s">
        <v>221</v>
      </c>
      <c r="BH10">
        <v>1.52</v>
      </c>
      <c r="BI10">
        <v>0.79</v>
      </c>
      <c r="BJ10">
        <v>0.74</v>
      </c>
      <c r="BK10" t="s">
        <v>221</v>
      </c>
      <c r="BL10">
        <v>1</v>
      </c>
      <c r="BM10">
        <v>3</v>
      </c>
      <c r="BN10">
        <v>4</v>
      </c>
      <c r="BO10">
        <v>2</v>
      </c>
      <c r="BP10">
        <v>2</v>
      </c>
      <c r="BQ10">
        <v>4</v>
      </c>
      <c r="BR10">
        <v>6</v>
      </c>
      <c r="BS10">
        <v>2</v>
      </c>
      <c r="BT10">
        <v>2</v>
      </c>
      <c r="BU10">
        <v>5</v>
      </c>
      <c r="BV10">
        <v>3</v>
      </c>
      <c r="BW10">
        <v>5</v>
      </c>
      <c r="BX10">
        <v>2</v>
      </c>
      <c r="BY10">
        <v>3</v>
      </c>
      <c r="BZ10">
        <v>2</v>
      </c>
      <c r="CA10">
        <v>5</v>
      </c>
      <c r="CB10">
        <v>2</v>
      </c>
      <c r="CC10">
        <v>5</v>
      </c>
      <c r="CD10">
        <v>2</v>
      </c>
      <c r="CE10">
        <v>1</v>
      </c>
      <c r="CF10">
        <v>5</v>
      </c>
      <c r="CG10">
        <v>1</v>
      </c>
      <c r="CH10">
        <v>2</v>
      </c>
      <c r="CI10">
        <v>6</v>
      </c>
      <c r="CJ10">
        <v>1</v>
      </c>
      <c r="CK10">
        <v>4</v>
      </c>
      <c r="CL10">
        <v>1</v>
      </c>
      <c r="CM10">
        <v>1</v>
      </c>
      <c r="CN10" t="s">
        <v>223</v>
      </c>
      <c r="CO10">
        <v>1</v>
      </c>
      <c r="CP10">
        <v>7</v>
      </c>
      <c r="CQ10">
        <v>6</v>
      </c>
      <c r="CR10">
        <v>1</v>
      </c>
      <c r="CS10">
        <v>1</v>
      </c>
      <c r="CT10">
        <v>6</v>
      </c>
      <c r="CU10">
        <v>6</v>
      </c>
      <c r="CV10">
        <v>2</v>
      </c>
      <c r="CW10">
        <v>1</v>
      </c>
      <c r="CX10" t="s">
        <v>237</v>
      </c>
      <c r="CY10">
        <v>6</v>
      </c>
      <c r="CZ10">
        <v>1</v>
      </c>
      <c r="DA10">
        <v>3</v>
      </c>
      <c r="DB10">
        <v>1</v>
      </c>
      <c r="DC10">
        <v>2</v>
      </c>
      <c r="DD10">
        <v>3</v>
      </c>
      <c r="DE10">
        <v>4</v>
      </c>
      <c r="DF10">
        <v>5</v>
      </c>
      <c r="DG10">
        <v>2</v>
      </c>
      <c r="DH10" t="s">
        <v>241</v>
      </c>
      <c r="DI10" t="s">
        <v>223</v>
      </c>
      <c r="DJ10"/>
      <c r="DK10"/>
      <c r="DL10"/>
      <c r="DM10"/>
      <c r="DN10"/>
      <c r="DO10"/>
      <c r="DP10"/>
      <c r="DQ10"/>
      <c r="DR10"/>
      <c r="DS10"/>
    </row>
    <row r="11" spans="1:123" s="30" customFormat="1" ht="12" customHeight="1">
      <c r="A11" s="25">
        <v>43663.663113425922</v>
      </c>
      <c r="B11" s="28" t="s">
        <v>31</v>
      </c>
      <c r="C11" s="26">
        <f t="shared" si="1"/>
        <v>10</v>
      </c>
      <c r="D11" s="73" t="s">
        <v>139</v>
      </c>
      <c r="E11" s="27" t="s">
        <v>19</v>
      </c>
      <c r="F11" s="26">
        <v>10</v>
      </c>
      <c r="G11" s="28">
        <v>23.8</v>
      </c>
      <c r="H11" s="28">
        <v>58.8</v>
      </c>
      <c r="I11" s="28">
        <v>560</v>
      </c>
      <c r="J11" s="28">
        <v>0.8</v>
      </c>
      <c r="K11" s="28">
        <v>43</v>
      </c>
      <c r="L11" s="43">
        <v>0.80999999999999994</v>
      </c>
      <c r="M11" s="74">
        <v>23.785799999999998</v>
      </c>
      <c r="N11" s="28">
        <v>0.02</v>
      </c>
      <c r="O11" s="28">
        <v>47.5</v>
      </c>
      <c r="P11" s="43">
        <v>0</v>
      </c>
      <c r="Q11" s="29"/>
      <c r="R11" s="43">
        <v>676</v>
      </c>
      <c r="S11" s="43">
        <v>435</v>
      </c>
      <c r="T11" s="43">
        <v>236</v>
      </c>
      <c r="U11" s="29"/>
      <c r="V11" s="29">
        <f t="shared" si="2"/>
        <v>555.5</v>
      </c>
      <c r="W11" s="31"/>
      <c r="X11" s="43">
        <v>8.4</v>
      </c>
      <c r="Y11" s="43">
        <v>1.8</v>
      </c>
      <c r="Z11" s="43">
        <v>6.7</v>
      </c>
      <c r="AA11" s="43">
        <v>8.5</v>
      </c>
      <c r="AB11" s="43">
        <v>16.899999999999999</v>
      </c>
      <c r="AC11" s="43"/>
      <c r="AD11" s="43">
        <v>6</v>
      </c>
      <c r="AE11" s="29"/>
      <c r="AF11" s="89" t="s">
        <v>210</v>
      </c>
      <c r="AG11" t="s">
        <v>211</v>
      </c>
      <c r="AH11" t="s">
        <v>212</v>
      </c>
      <c r="AI11" t="s">
        <v>212</v>
      </c>
      <c r="AJ11" t="s">
        <v>211</v>
      </c>
      <c r="AK11">
        <v>0.80999999999999994</v>
      </c>
      <c r="AL11" t="s">
        <v>226</v>
      </c>
      <c r="AM11" t="s">
        <v>228</v>
      </c>
      <c r="AN11" t="s">
        <v>215</v>
      </c>
      <c r="AO11" t="s">
        <v>216</v>
      </c>
      <c r="AP11" t="s">
        <v>217</v>
      </c>
      <c r="AQ11" t="s">
        <v>227</v>
      </c>
      <c r="AR11" t="s">
        <v>219</v>
      </c>
      <c r="AS11" t="s">
        <v>242</v>
      </c>
      <c r="AT11" t="s">
        <v>221</v>
      </c>
      <c r="AU11" t="s">
        <v>211</v>
      </c>
      <c r="AV11">
        <v>676</v>
      </c>
      <c r="AW11">
        <v>435</v>
      </c>
      <c r="AX11">
        <v>236</v>
      </c>
      <c r="AY11">
        <f t="shared" si="0"/>
        <v>449</v>
      </c>
      <c r="AZ11" t="s">
        <v>211</v>
      </c>
      <c r="BA11">
        <v>3.52</v>
      </c>
      <c r="BB11">
        <v>1.6</v>
      </c>
      <c r="BC11" t="s">
        <v>212</v>
      </c>
      <c r="BD11">
        <v>1.6</v>
      </c>
      <c r="BE11" t="s">
        <v>229</v>
      </c>
      <c r="BF11" t="s">
        <v>221</v>
      </c>
      <c r="BG11" t="s">
        <v>221</v>
      </c>
      <c r="BH11">
        <v>2</v>
      </c>
      <c r="BI11">
        <v>0.85</v>
      </c>
      <c r="BJ11">
        <v>0.86</v>
      </c>
      <c r="BK11" t="s">
        <v>221</v>
      </c>
      <c r="BL11">
        <v>2</v>
      </c>
      <c r="BM11">
        <v>3</v>
      </c>
      <c r="BN11">
        <v>4</v>
      </c>
      <c r="BO11">
        <v>2</v>
      </c>
      <c r="BP11">
        <v>3</v>
      </c>
      <c r="BQ11">
        <v>4</v>
      </c>
      <c r="BR11">
        <v>6</v>
      </c>
      <c r="BS11">
        <v>2</v>
      </c>
      <c r="BT11">
        <v>2</v>
      </c>
      <c r="BU11">
        <v>5</v>
      </c>
      <c r="BV11">
        <v>5</v>
      </c>
      <c r="BW11">
        <v>3</v>
      </c>
      <c r="BX11">
        <v>3</v>
      </c>
      <c r="BY11">
        <v>3</v>
      </c>
      <c r="BZ11">
        <v>1</v>
      </c>
      <c r="CA11">
        <v>7</v>
      </c>
      <c r="CB11">
        <v>7</v>
      </c>
      <c r="CC11">
        <v>7</v>
      </c>
      <c r="CD11">
        <v>2</v>
      </c>
      <c r="CE11">
        <v>1</v>
      </c>
      <c r="CF11">
        <v>6</v>
      </c>
      <c r="CG11">
        <v>1</v>
      </c>
      <c r="CH11">
        <v>2</v>
      </c>
      <c r="CI11">
        <v>7</v>
      </c>
      <c r="CJ11">
        <v>7</v>
      </c>
      <c r="CK11">
        <v>7</v>
      </c>
      <c r="CL11">
        <v>6</v>
      </c>
      <c r="CM11">
        <v>1</v>
      </c>
      <c r="CN11" t="s">
        <v>223</v>
      </c>
      <c r="CO11">
        <v>1</v>
      </c>
      <c r="CP11">
        <v>7</v>
      </c>
      <c r="CQ11">
        <v>7</v>
      </c>
      <c r="CR11">
        <v>1</v>
      </c>
      <c r="CS11">
        <v>1</v>
      </c>
      <c r="CT11">
        <v>7</v>
      </c>
      <c r="CU11">
        <v>7</v>
      </c>
      <c r="CV11">
        <v>2</v>
      </c>
      <c r="CW11">
        <v>3</v>
      </c>
      <c r="CX11" t="s">
        <v>235</v>
      </c>
      <c r="CY11">
        <v>7</v>
      </c>
      <c r="CZ11">
        <v>1</v>
      </c>
      <c r="DA11">
        <v>3</v>
      </c>
      <c r="DB11">
        <v>3</v>
      </c>
      <c r="DC11">
        <v>6</v>
      </c>
      <c r="DD11">
        <v>3</v>
      </c>
      <c r="DE11">
        <v>6</v>
      </c>
      <c r="DF11">
        <v>6</v>
      </c>
      <c r="DG11">
        <v>5</v>
      </c>
      <c r="DH11" t="s">
        <v>243</v>
      </c>
      <c r="DI11" t="s">
        <v>223</v>
      </c>
      <c r="DJ11"/>
      <c r="DK11"/>
      <c r="DL11"/>
      <c r="DM11"/>
      <c r="DN11"/>
      <c r="DO11"/>
      <c r="DP11"/>
      <c r="DQ11"/>
      <c r="DR11"/>
      <c r="DS11"/>
    </row>
    <row r="12" spans="1:123" s="30" customFormat="1" ht="12" customHeight="1">
      <c r="A12" s="25">
        <v>43663.668680555558</v>
      </c>
      <c r="B12" s="28" t="s">
        <v>32</v>
      </c>
      <c r="C12" s="26">
        <f t="shared" si="1"/>
        <v>11</v>
      </c>
      <c r="D12" s="73" t="s">
        <v>139</v>
      </c>
      <c r="E12" s="27" t="s">
        <v>19</v>
      </c>
      <c r="F12" s="26">
        <v>10</v>
      </c>
      <c r="G12" s="28">
        <v>24.1</v>
      </c>
      <c r="H12" s="28">
        <v>57.8</v>
      </c>
      <c r="I12" s="28">
        <v>621</v>
      </c>
      <c r="J12" s="28">
        <v>0.8</v>
      </c>
      <c r="K12" s="28">
        <v>46</v>
      </c>
      <c r="L12" s="43">
        <v>0.39</v>
      </c>
      <c r="M12" s="74">
        <v>23.954999999999998</v>
      </c>
      <c r="N12" s="28">
        <v>0.05</v>
      </c>
      <c r="O12" s="28">
        <v>47.6</v>
      </c>
      <c r="P12" s="43">
        <v>1.36</v>
      </c>
      <c r="Q12" s="29"/>
      <c r="R12" s="43">
        <v>255</v>
      </c>
      <c r="S12" s="43">
        <v>245</v>
      </c>
      <c r="T12" s="43">
        <v>507</v>
      </c>
      <c r="U12" s="29"/>
      <c r="V12" s="29">
        <f t="shared" si="2"/>
        <v>250</v>
      </c>
      <c r="W12" s="31"/>
      <c r="X12" s="43">
        <v>4.2</v>
      </c>
      <c r="Y12" s="43">
        <v>0.1</v>
      </c>
      <c r="Z12" s="43">
        <v>15.7</v>
      </c>
      <c r="AA12" s="43">
        <v>15.799999999999999</v>
      </c>
      <c r="AB12" s="43">
        <v>20</v>
      </c>
      <c r="AC12" s="43"/>
      <c r="AD12" s="43">
        <v>5</v>
      </c>
      <c r="AE12" s="29"/>
      <c r="AF12" s="89" t="s">
        <v>225</v>
      </c>
      <c r="AG12" t="s">
        <v>211</v>
      </c>
      <c r="AH12" t="s">
        <v>212</v>
      </c>
      <c r="AI12" t="s">
        <v>212</v>
      </c>
      <c r="AJ12" t="s">
        <v>211</v>
      </c>
      <c r="AK12">
        <v>0.39</v>
      </c>
      <c r="AL12" t="s">
        <v>228</v>
      </c>
      <c r="AM12" t="s">
        <v>228</v>
      </c>
      <c r="AN12" t="s">
        <v>215</v>
      </c>
      <c r="AO12" t="s">
        <v>216</v>
      </c>
      <c r="AP12" t="s">
        <v>217</v>
      </c>
      <c r="AQ12" t="s">
        <v>227</v>
      </c>
      <c r="AR12" t="s">
        <v>219</v>
      </c>
      <c r="AS12" t="s">
        <v>242</v>
      </c>
      <c r="AT12" t="s">
        <v>227</v>
      </c>
      <c r="AU12" t="s">
        <v>211</v>
      </c>
      <c r="AV12">
        <v>255</v>
      </c>
      <c r="AW12">
        <v>245</v>
      </c>
      <c r="AX12">
        <v>507</v>
      </c>
      <c r="AY12">
        <f t="shared" si="0"/>
        <v>335.66666666666669</v>
      </c>
      <c r="AZ12" t="s">
        <v>211</v>
      </c>
      <c r="BA12">
        <v>3.68</v>
      </c>
      <c r="BB12">
        <v>1.5</v>
      </c>
      <c r="BC12" t="s">
        <v>212</v>
      </c>
      <c r="BD12">
        <v>3.5</v>
      </c>
      <c r="BE12" t="s">
        <v>230</v>
      </c>
      <c r="BF12" t="s">
        <v>221</v>
      </c>
      <c r="BG12" t="s">
        <v>221</v>
      </c>
      <c r="BH12">
        <v>0.95</v>
      </c>
      <c r="BI12">
        <v>0.86</v>
      </c>
      <c r="BJ12">
        <v>0.85</v>
      </c>
      <c r="BK12">
        <v>1.36</v>
      </c>
      <c r="BL12">
        <v>1</v>
      </c>
      <c r="BM12">
        <v>2</v>
      </c>
      <c r="BN12">
        <v>1</v>
      </c>
      <c r="BO12">
        <v>2</v>
      </c>
      <c r="BP12">
        <v>2</v>
      </c>
      <c r="BQ12">
        <v>4</v>
      </c>
      <c r="BR12">
        <v>5</v>
      </c>
      <c r="BS12">
        <v>2</v>
      </c>
      <c r="BT12">
        <v>2</v>
      </c>
      <c r="BU12">
        <v>4</v>
      </c>
      <c r="BV12">
        <v>4</v>
      </c>
      <c r="BW12" t="s">
        <v>223</v>
      </c>
      <c r="BX12">
        <v>2</v>
      </c>
      <c r="BY12">
        <v>2</v>
      </c>
      <c r="BZ12" t="s">
        <v>223</v>
      </c>
      <c r="CA12">
        <v>3</v>
      </c>
      <c r="CB12">
        <v>2</v>
      </c>
      <c r="CC12">
        <v>5</v>
      </c>
      <c r="CD12">
        <v>2</v>
      </c>
      <c r="CE12">
        <v>1</v>
      </c>
      <c r="CF12">
        <v>4</v>
      </c>
      <c r="CG12">
        <v>1</v>
      </c>
      <c r="CH12">
        <v>2</v>
      </c>
      <c r="CI12">
        <v>5</v>
      </c>
      <c r="CJ12">
        <v>4</v>
      </c>
      <c r="CK12">
        <v>5</v>
      </c>
      <c r="CL12">
        <v>4</v>
      </c>
      <c r="CM12">
        <v>1</v>
      </c>
      <c r="CN12" t="s">
        <v>223</v>
      </c>
      <c r="CO12">
        <v>2</v>
      </c>
      <c r="CP12">
        <v>6</v>
      </c>
      <c r="CQ12">
        <v>6</v>
      </c>
      <c r="CR12">
        <v>1</v>
      </c>
      <c r="CS12">
        <v>1</v>
      </c>
      <c r="CT12">
        <v>6</v>
      </c>
      <c r="CU12">
        <v>6</v>
      </c>
      <c r="CV12">
        <v>2</v>
      </c>
      <c r="CW12">
        <v>2</v>
      </c>
      <c r="CX12" t="s">
        <v>244</v>
      </c>
      <c r="CY12">
        <v>5</v>
      </c>
      <c r="CZ12">
        <v>1</v>
      </c>
      <c r="DA12">
        <v>1</v>
      </c>
      <c r="DB12">
        <v>2</v>
      </c>
      <c r="DC12">
        <v>5</v>
      </c>
      <c r="DD12">
        <v>3</v>
      </c>
      <c r="DE12">
        <v>4</v>
      </c>
      <c r="DF12">
        <v>6</v>
      </c>
      <c r="DG12">
        <v>5</v>
      </c>
      <c r="DH12" t="s">
        <v>245</v>
      </c>
      <c r="DI12" t="s">
        <v>223</v>
      </c>
      <c r="DJ12"/>
      <c r="DK12"/>
      <c r="DL12"/>
      <c r="DM12"/>
      <c r="DN12"/>
      <c r="DO12"/>
      <c r="DP12"/>
      <c r="DQ12"/>
      <c r="DR12"/>
      <c r="DS12"/>
    </row>
    <row r="13" spans="1:123" s="30" customFormat="1" ht="12" customHeight="1">
      <c r="A13" s="25">
        <v>43665.430138888885</v>
      </c>
      <c r="B13" s="28" t="s">
        <v>33</v>
      </c>
      <c r="C13" s="26">
        <f t="shared" si="1"/>
        <v>12</v>
      </c>
      <c r="D13" s="73" t="s">
        <v>139</v>
      </c>
      <c r="E13" s="27" t="s">
        <v>19</v>
      </c>
      <c r="F13" s="26">
        <v>10</v>
      </c>
      <c r="G13" s="28">
        <v>22</v>
      </c>
      <c r="H13" s="28">
        <v>51.8</v>
      </c>
      <c r="I13" s="28">
        <v>589</v>
      </c>
      <c r="J13" s="28">
        <v>1</v>
      </c>
      <c r="K13" s="28">
        <v>92</v>
      </c>
      <c r="L13" s="43">
        <v>0.78</v>
      </c>
      <c r="M13" s="74">
        <v>21.895600000000002</v>
      </c>
      <c r="N13" s="28">
        <v>0.01</v>
      </c>
      <c r="O13" s="28">
        <v>46.5</v>
      </c>
      <c r="P13" s="43">
        <v>1.26</v>
      </c>
      <c r="Q13" s="29"/>
      <c r="R13" s="43">
        <v>233</v>
      </c>
      <c r="S13" s="43">
        <v>249</v>
      </c>
      <c r="T13" s="43">
        <v>990</v>
      </c>
      <c r="U13" s="29"/>
      <c r="V13" s="29">
        <f t="shared" si="2"/>
        <v>241</v>
      </c>
      <c r="W13" s="31"/>
      <c r="X13" s="43">
        <v>2.5</v>
      </c>
      <c r="Y13" s="43">
        <v>0</v>
      </c>
      <c r="Z13" s="43">
        <v>11.7</v>
      </c>
      <c r="AA13" s="43">
        <v>11.7</v>
      </c>
      <c r="AB13" s="43">
        <v>14.2</v>
      </c>
      <c r="AC13" s="43"/>
      <c r="AD13" s="43">
        <v>6</v>
      </c>
      <c r="AE13" s="29"/>
      <c r="AF13" s="89" t="s">
        <v>225</v>
      </c>
      <c r="AG13" t="s">
        <v>211</v>
      </c>
      <c r="AH13" t="s">
        <v>212</v>
      </c>
      <c r="AI13" t="s">
        <v>212</v>
      </c>
      <c r="AJ13" t="s">
        <v>211</v>
      </c>
      <c r="AK13">
        <v>0.78</v>
      </c>
      <c r="AL13" t="s">
        <v>213</v>
      </c>
      <c r="AM13" t="s">
        <v>246</v>
      </c>
      <c r="AN13" t="s">
        <v>215</v>
      </c>
      <c r="AO13" t="s">
        <v>234</v>
      </c>
      <c r="AP13" t="s">
        <v>217</v>
      </c>
      <c r="AQ13" t="s">
        <v>247</v>
      </c>
      <c r="AR13" t="s">
        <v>214</v>
      </c>
      <c r="AS13" t="s">
        <v>246</v>
      </c>
      <c r="AT13" t="s">
        <v>248</v>
      </c>
      <c r="AU13" t="s">
        <v>211</v>
      </c>
      <c r="AV13">
        <v>233</v>
      </c>
      <c r="AW13">
        <v>249</v>
      </c>
      <c r="AX13">
        <v>990</v>
      </c>
      <c r="AY13">
        <f t="shared" si="0"/>
        <v>490.66666666666669</v>
      </c>
      <c r="AZ13" t="s">
        <v>211</v>
      </c>
      <c r="BA13">
        <v>3.6</v>
      </c>
      <c r="BB13">
        <v>2.4700000000000002</v>
      </c>
      <c r="BC13" t="s">
        <v>211</v>
      </c>
      <c r="BD13">
        <v>3.1</v>
      </c>
      <c r="BE13" t="s">
        <v>230</v>
      </c>
      <c r="BF13" t="s">
        <v>221</v>
      </c>
      <c r="BG13" t="s">
        <v>221</v>
      </c>
      <c r="BH13">
        <v>0.94</v>
      </c>
      <c r="BI13">
        <v>0.76</v>
      </c>
      <c r="BJ13">
        <v>0.74</v>
      </c>
      <c r="BK13">
        <v>1.26</v>
      </c>
      <c r="BL13">
        <v>2</v>
      </c>
      <c r="BM13">
        <v>2</v>
      </c>
      <c r="BN13">
        <v>1</v>
      </c>
      <c r="BO13">
        <v>2</v>
      </c>
      <c r="BP13">
        <v>3</v>
      </c>
      <c r="BQ13">
        <v>3</v>
      </c>
      <c r="BR13">
        <v>6</v>
      </c>
      <c r="BS13">
        <v>1</v>
      </c>
      <c r="BT13">
        <v>2</v>
      </c>
      <c r="BU13" t="s">
        <v>223</v>
      </c>
      <c r="BV13">
        <v>6</v>
      </c>
      <c r="BW13" t="s">
        <v>223</v>
      </c>
      <c r="BX13">
        <v>4</v>
      </c>
      <c r="BY13">
        <v>2</v>
      </c>
      <c r="BZ13" t="s">
        <v>223</v>
      </c>
      <c r="CA13">
        <v>6</v>
      </c>
      <c r="CB13">
        <v>5</v>
      </c>
      <c r="CC13">
        <v>5</v>
      </c>
      <c r="CD13">
        <v>2</v>
      </c>
      <c r="CE13">
        <v>2</v>
      </c>
      <c r="CF13">
        <v>6</v>
      </c>
      <c r="CG13">
        <v>2</v>
      </c>
      <c r="CH13">
        <v>2</v>
      </c>
      <c r="CI13">
        <v>6</v>
      </c>
      <c r="CJ13">
        <v>3</v>
      </c>
      <c r="CK13">
        <v>6</v>
      </c>
      <c r="CL13">
        <v>3</v>
      </c>
      <c r="CM13">
        <v>1</v>
      </c>
      <c r="CN13" t="s">
        <v>223</v>
      </c>
      <c r="CO13">
        <v>1</v>
      </c>
      <c r="CP13">
        <v>7</v>
      </c>
      <c r="CQ13">
        <v>7</v>
      </c>
      <c r="CR13">
        <v>1</v>
      </c>
      <c r="CS13">
        <v>1</v>
      </c>
      <c r="CT13">
        <v>6</v>
      </c>
      <c r="CU13">
        <v>6</v>
      </c>
      <c r="CV13">
        <v>2</v>
      </c>
      <c r="CW13">
        <v>2</v>
      </c>
      <c r="CX13" t="s">
        <v>249</v>
      </c>
      <c r="CY13">
        <v>6</v>
      </c>
      <c r="CZ13">
        <v>1</v>
      </c>
      <c r="DA13">
        <v>3</v>
      </c>
      <c r="DB13">
        <v>2</v>
      </c>
      <c r="DC13">
        <v>6</v>
      </c>
      <c r="DD13">
        <v>3</v>
      </c>
      <c r="DE13">
        <v>4</v>
      </c>
      <c r="DF13">
        <v>6</v>
      </c>
      <c r="DG13">
        <v>3</v>
      </c>
      <c r="DH13" t="s">
        <v>223</v>
      </c>
      <c r="DI13" t="s">
        <v>223</v>
      </c>
      <c r="DJ13"/>
      <c r="DK13"/>
      <c r="DL13"/>
      <c r="DM13"/>
      <c r="DN13"/>
      <c r="DO13"/>
      <c r="DP13"/>
      <c r="DQ13"/>
      <c r="DR13"/>
      <c r="DS13"/>
    </row>
    <row r="14" spans="1:123" s="30" customFormat="1" ht="12" customHeight="1">
      <c r="A14" s="25">
        <v>43665.423460648148</v>
      </c>
      <c r="B14" s="28" t="s">
        <v>34</v>
      </c>
      <c r="C14" s="26">
        <f t="shared" si="1"/>
        <v>13</v>
      </c>
      <c r="D14" s="73" t="s">
        <v>139</v>
      </c>
      <c r="E14" s="27" t="s">
        <v>19</v>
      </c>
      <c r="F14" s="26">
        <v>10</v>
      </c>
      <c r="G14" s="28">
        <v>21.2</v>
      </c>
      <c r="H14" s="28">
        <v>54.1</v>
      </c>
      <c r="I14" s="28">
        <v>583</v>
      </c>
      <c r="J14" s="28">
        <v>1</v>
      </c>
      <c r="K14" s="28">
        <v>96</v>
      </c>
      <c r="L14" s="43">
        <v>0.87</v>
      </c>
      <c r="M14" s="74">
        <v>21.885200000000001</v>
      </c>
      <c r="N14" s="28">
        <v>0.02</v>
      </c>
      <c r="O14" s="28">
        <v>49.8</v>
      </c>
      <c r="P14" s="43">
        <v>1.26</v>
      </c>
      <c r="Q14" s="29"/>
      <c r="R14" s="43">
        <v>226</v>
      </c>
      <c r="S14" s="43">
        <v>163</v>
      </c>
      <c r="T14" s="43">
        <v>438</v>
      </c>
      <c r="U14" s="29"/>
      <c r="V14" s="29">
        <f t="shared" si="2"/>
        <v>194.5</v>
      </c>
      <c r="W14" s="31"/>
      <c r="X14" s="43">
        <v>3.3</v>
      </c>
      <c r="Y14" s="43">
        <v>0.2</v>
      </c>
      <c r="Z14" s="43">
        <v>16.5</v>
      </c>
      <c r="AA14" s="43">
        <v>16.7</v>
      </c>
      <c r="AB14" s="43">
        <v>20</v>
      </c>
      <c r="AC14" s="43"/>
      <c r="AD14" s="43">
        <v>4</v>
      </c>
      <c r="AE14" s="29"/>
      <c r="AF14" s="89" t="s">
        <v>225</v>
      </c>
      <c r="AG14" t="s">
        <v>211</v>
      </c>
      <c r="AH14" t="s">
        <v>212</v>
      </c>
      <c r="AI14" t="s">
        <v>212</v>
      </c>
      <c r="AJ14" t="s">
        <v>211</v>
      </c>
      <c r="AK14">
        <v>0.87</v>
      </c>
      <c r="AL14" t="s">
        <v>213</v>
      </c>
      <c r="AM14" t="s">
        <v>246</v>
      </c>
      <c r="AN14" t="s">
        <v>215</v>
      </c>
      <c r="AO14" t="s">
        <v>234</v>
      </c>
      <c r="AP14" t="s">
        <v>217</v>
      </c>
      <c r="AQ14" t="s">
        <v>247</v>
      </c>
      <c r="AR14" t="s">
        <v>214</v>
      </c>
      <c r="AS14" t="s">
        <v>246</v>
      </c>
      <c r="AT14" t="s">
        <v>248</v>
      </c>
      <c r="AU14" t="s">
        <v>212</v>
      </c>
      <c r="AV14">
        <v>226</v>
      </c>
      <c r="AW14">
        <v>163</v>
      </c>
      <c r="AX14">
        <v>438</v>
      </c>
      <c r="AY14">
        <f t="shared" si="0"/>
        <v>275.66666666666669</v>
      </c>
      <c r="AZ14" t="s">
        <v>211</v>
      </c>
      <c r="BA14">
        <v>3.14</v>
      </c>
      <c r="BB14">
        <v>3.8</v>
      </c>
      <c r="BC14" t="s">
        <v>211</v>
      </c>
      <c r="BD14">
        <v>3.8</v>
      </c>
      <c r="BE14" t="s">
        <v>230</v>
      </c>
      <c r="BF14" t="s">
        <v>221</v>
      </c>
      <c r="BG14" t="s">
        <v>221</v>
      </c>
      <c r="BH14">
        <v>1.25</v>
      </c>
      <c r="BI14">
        <v>0.76</v>
      </c>
      <c r="BJ14">
        <v>0.74</v>
      </c>
      <c r="BK14">
        <v>1.26</v>
      </c>
      <c r="BL14">
        <v>2</v>
      </c>
      <c r="BM14">
        <v>1</v>
      </c>
      <c r="BN14">
        <v>1</v>
      </c>
      <c r="BO14">
        <v>2</v>
      </c>
      <c r="BP14">
        <v>2</v>
      </c>
      <c r="BQ14">
        <v>2</v>
      </c>
      <c r="BR14">
        <v>4</v>
      </c>
      <c r="BS14">
        <v>1</v>
      </c>
      <c r="BT14">
        <v>3</v>
      </c>
      <c r="BU14">
        <v>4</v>
      </c>
      <c r="BV14">
        <v>4</v>
      </c>
      <c r="BW14">
        <v>4</v>
      </c>
      <c r="BX14">
        <v>3</v>
      </c>
      <c r="BY14">
        <v>1</v>
      </c>
      <c r="BZ14">
        <v>1</v>
      </c>
      <c r="CA14">
        <v>3</v>
      </c>
      <c r="CB14">
        <v>3</v>
      </c>
      <c r="CC14">
        <v>4</v>
      </c>
      <c r="CD14">
        <v>2</v>
      </c>
      <c r="CE14">
        <v>1</v>
      </c>
      <c r="CF14">
        <v>2</v>
      </c>
      <c r="CG14">
        <v>2</v>
      </c>
      <c r="CH14">
        <v>1</v>
      </c>
      <c r="CI14">
        <v>7</v>
      </c>
      <c r="CJ14">
        <v>5</v>
      </c>
      <c r="CK14">
        <v>6</v>
      </c>
      <c r="CL14">
        <v>5</v>
      </c>
      <c r="CM14">
        <v>1</v>
      </c>
      <c r="CN14" t="s">
        <v>223</v>
      </c>
      <c r="CO14">
        <v>1</v>
      </c>
      <c r="CP14">
        <v>7</v>
      </c>
      <c r="CQ14">
        <v>6</v>
      </c>
      <c r="CR14">
        <v>1</v>
      </c>
      <c r="CS14">
        <v>3</v>
      </c>
      <c r="CT14">
        <v>6</v>
      </c>
      <c r="CU14">
        <v>6</v>
      </c>
      <c r="CV14">
        <v>2</v>
      </c>
      <c r="CW14">
        <v>3</v>
      </c>
      <c r="CX14" t="s">
        <v>237</v>
      </c>
      <c r="CY14">
        <v>4</v>
      </c>
      <c r="CZ14">
        <v>1</v>
      </c>
      <c r="DA14">
        <v>2</v>
      </c>
      <c r="DB14">
        <v>2</v>
      </c>
      <c r="DC14">
        <v>5</v>
      </c>
      <c r="DD14">
        <v>4</v>
      </c>
      <c r="DE14">
        <v>4</v>
      </c>
      <c r="DF14">
        <v>5</v>
      </c>
      <c r="DG14">
        <v>5</v>
      </c>
      <c r="DH14" t="s">
        <v>223</v>
      </c>
      <c r="DI14" t="s">
        <v>223</v>
      </c>
      <c r="DJ14"/>
      <c r="DK14"/>
      <c r="DL14"/>
      <c r="DM14"/>
      <c r="DN14"/>
      <c r="DO14"/>
      <c r="DP14"/>
      <c r="DQ14"/>
      <c r="DR14"/>
      <c r="DS14"/>
    </row>
    <row r="15" spans="1:123" s="30" customFormat="1" ht="12" customHeight="1">
      <c r="A15" s="25">
        <v>43665.443159722221</v>
      </c>
      <c r="B15" s="28" t="s">
        <v>35</v>
      </c>
      <c r="C15" s="26">
        <f t="shared" si="1"/>
        <v>14</v>
      </c>
      <c r="D15" s="73" t="s">
        <v>139</v>
      </c>
      <c r="E15" s="27" t="s">
        <v>19</v>
      </c>
      <c r="F15" s="26">
        <v>10</v>
      </c>
      <c r="G15" s="28">
        <v>22.7</v>
      </c>
      <c r="H15" s="28">
        <v>49.3</v>
      </c>
      <c r="I15" s="28">
        <v>501</v>
      </c>
      <c r="J15" s="28">
        <v>0.9</v>
      </c>
      <c r="K15" s="28">
        <v>82</v>
      </c>
      <c r="L15" s="43">
        <v>0.57000000000000006</v>
      </c>
      <c r="M15" s="74">
        <v>23.761299999999999</v>
      </c>
      <c r="N15" s="28">
        <v>0.01</v>
      </c>
      <c r="O15" s="28">
        <v>45.6</v>
      </c>
      <c r="P15" s="43">
        <v>0</v>
      </c>
      <c r="Q15" s="29"/>
      <c r="R15" s="43">
        <v>1050</v>
      </c>
      <c r="S15" s="43">
        <v>950</v>
      </c>
      <c r="T15" s="43">
        <v>1775</v>
      </c>
      <c r="U15" s="29"/>
      <c r="V15" s="29">
        <f t="shared" si="2"/>
        <v>1000</v>
      </c>
      <c r="W15" s="31"/>
      <c r="X15" s="43">
        <v>12.3</v>
      </c>
      <c r="Y15" s="43">
        <v>0</v>
      </c>
      <c r="Z15" s="43">
        <v>6.6</v>
      </c>
      <c r="AA15" s="43">
        <v>6.6</v>
      </c>
      <c r="AB15" s="43">
        <v>18.899999999999999</v>
      </c>
      <c r="AC15" s="43"/>
      <c r="AD15" s="43">
        <v>6</v>
      </c>
      <c r="AE15" s="29"/>
      <c r="AF15" s="89" t="s">
        <v>225</v>
      </c>
      <c r="AG15" t="s">
        <v>211</v>
      </c>
      <c r="AH15" t="s">
        <v>212</v>
      </c>
      <c r="AI15" t="s">
        <v>212</v>
      </c>
      <c r="AJ15" t="s">
        <v>212</v>
      </c>
      <c r="AK15">
        <v>0.57000000000000006</v>
      </c>
      <c r="AL15" t="s">
        <v>226</v>
      </c>
      <c r="AM15" t="s">
        <v>219</v>
      </c>
      <c r="AN15" t="s">
        <v>215</v>
      </c>
      <c r="AO15" t="s">
        <v>216</v>
      </c>
      <c r="AP15" t="s">
        <v>217</v>
      </c>
      <c r="AQ15" t="s">
        <v>227</v>
      </c>
      <c r="AR15" t="s">
        <v>228</v>
      </c>
      <c r="AS15" t="s">
        <v>219</v>
      </c>
      <c r="AT15" t="s">
        <v>221</v>
      </c>
      <c r="AU15" t="s">
        <v>211</v>
      </c>
      <c r="AV15">
        <v>1050</v>
      </c>
      <c r="AW15">
        <v>950</v>
      </c>
      <c r="AX15">
        <v>1775</v>
      </c>
      <c r="AY15">
        <f t="shared" si="0"/>
        <v>1258.3333333333333</v>
      </c>
      <c r="AZ15" t="s">
        <v>211</v>
      </c>
      <c r="BA15">
        <v>3.68</v>
      </c>
      <c r="BB15">
        <v>2.6</v>
      </c>
      <c r="BC15" t="s">
        <v>212</v>
      </c>
      <c r="BD15">
        <v>0</v>
      </c>
      <c r="BE15" t="s">
        <v>229</v>
      </c>
      <c r="BF15">
        <v>6.55</v>
      </c>
      <c r="BG15" t="s">
        <v>250</v>
      </c>
      <c r="BH15">
        <v>1.52</v>
      </c>
      <c r="BI15">
        <v>0.75</v>
      </c>
      <c r="BJ15">
        <v>0.75</v>
      </c>
      <c r="BK15" t="s">
        <v>221</v>
      </c>
      <c r="BL15">
        <v>2</v>
      </c>
      <c r="BM15">
        <v>1</v>
      </c>
      <c r="BN15">
        <v>1</v>
      </c>
      <c r="BO15">
        <v>3</v>
      </c>
      <c r="BP15">
        <v>3</v>
      </c>
      <c r="BQ15">
        <v>4</v>
      </c>
      <c r="BR15">
        <v>6</v>
      </c>
      <c r="BS15">
        <v>2</v>
      </c>
      <c r="BT15">
        <v>2</v>
      </c>
      <c r="BU15" t="s">
        <v>223</v>
      </c>
      <c r="BV15">
        <v>6</v>
      </c>
      <c r="BW15" t="s">
        <v>223</v>
      </c>
      <c r="BX15">
        <v>3</v>
      </c>
      <c r="BY15">
        <v>2</v>
      </c>
      <c r="BZ15" t="s">
        <v>223</v>
      </c>
      <c r="CA15">
        <v>7</v>
      </c>
      <c r="CB15">
        <v>6</v>
      </c>
      <c r="CC15">
        <v>6</v>
      </c>
      <c r="CD15">
        <v>1</v>
      </c>
      <c r="CE15">
        <v>1</v>
      </c>
      <c r="CF15">
        <v>6</v>
      </c>
      <c r="CG15">
        <v>1</v>
      </c>
      <c r="CH15">
        <v>1</v>
      </c>
      <c r="CI15">
        <v>4</v>
      </c>
      <c r="CJ15">
        <v>6</v>
      </c>
      <c r="CK15">
        <v>5</v>
      </c>
      <c r="CL15">
        <v>6</v>
      </c>
      <c r="CM15">
        <v>1</v>
      </c>
      <c r="CN15" t="s">
        <v>223</v>
      </c>
      <c r="CO15">
        <v>1</v>
      </c>
      <c r="CP15">
        <v>4</v>
      </c>
      <c r="CQ15">
        <v>4</v>
      </c>
      <c r="CR15">
        <v>1</v>
      </c>
      <c r="CS15">
        <v>1</v>
      </c>
      <c r="CT15">
        <v>6</v>
      </c>
      <c r="CU15">
        <v>6</v>
      </c>
      <c r="CV15">
        <v>1</v>
      </c>
      <c r="CW15">
        <v>2</v>
      </c>
      <c r="CX15" t="s">
        <v>15</v>
      </c>
      <c r="CY15">
        <v>6</v>
      </c>
      <c r="CZ15">
        <v>1</v>
      </c>
      <c r="DA15">
        <v>3</v>
      </c>
      <c r="DB15">
        <v>2</v>
      </c>
      <c r="DC15">
        <v>5</v>
      </c>
      <c r="DD15">
        <v>4</v>
      </c>
      <c r="DE15">
        <v>5</v>
      </c>
      <c r="DF15">
        <v>6</v>
      </c>
      <c r="DG15">
        <v>4</v>
      </c>
      <c r="DH15" t="s">
        <v>223</v>
      </c>
      <c r="DI15" t="s">
        <v>223</v>
      </c>
      <c r="DJ15"/>
      <c r="DK15"/>
      <c r="DL15"/>
      <c r="DM15"/>
      <c r="DN15"/>
      <c r="DO15"/>
      <c r="DP15"/>
      <c r="DQ15"/>
      <c r="DR15"/>
      <c r="DS15"/>
    </row>
    <row r="16" spans="1:123" s="30" customFormat="1" ht="12" customHeight="1">
      <c r="A16" s="25">
        <v>43665.460300925923</v>
      </c>
      <c r="B16" s="28" t="s">
        <v>36</v>
      </c>
      <c r="C16" s="26">
        <f t="shared" si="1"/>
        <v>15</v>
      </c>
      <c r="D16" s="73" t="s">
        <v>139</v>
      </c>
      <c r="E16" s="27" t="s">
        <v>19</v>
      </c>
      <c r="F16" s="26">
        <v>10</v>
      </c>
      <c r="G16" s="28">
        <v>22.7</v>
      </c>
      <c r="H16" s="28">
        <v>51.1</v>
      </c>
      <c r="I16" s="28">
        <v>597</v>
      </c>
      <c r="J16" s="28">
        <v>0.8</v>
      </c>
      <c r="K16" s="28">
        <v>82</v>
      </c>
      <c r="L16" s="43">
        <v>0.80999999999999994</v>
      </c>
      <c r="M16" s="74">
        <v>22.45</v>
      </c>
      <c r="N16" s="28">
        <v>0.02</v>
      </c>
      <c r="O16" s="28">
        <v>50.7</v>
      </c>
      <c r="P16" s="43">
        <v>0</v>
      </c>
      <c r="Q16" s="29"/>
      <c r="R16" s="43">
        <v>363</v>
      </c>
      <c r="S16" s="43">
        <v>210</v>
      </c>
      <c r="T16" s="43">
        <v>253</v>
      </c>
      <c r="U16" s="29"/>
      <c r="V16" s="29">
        <f t="shared" si="2"/>
        <v>286.5</v>
      </c>
      <c r="W16" s="31"/>
      <c r="X16" s="43">
        <v>0</v>
      </c>
      <c r="Y16" s="43">
        <v>0</v>
      </c>
      <c r="Z16" s="43">
        <v>3.9</v>
      </c>
      <c r="AA16" s="43">
        <v>3.9</v>
      </c>
      <c r="AB16" s="43">
        <v>3.9</v>
      </c>
      <c r="AC16" s="43"/>
      <c r="AD16" s="43">
        <v>4</v>
      </c>
      <c r="AE16" s="29"/>
      <c r="AF16" s="89" t="s">
        <v>225</v>
      </c>
      <c r="AG16" t="s">
        <v>211</v>
      </c>
      <c r="AH16" t="s">
        <v>212</v>
      </c>
      <c r="AI16" t="s">
        <v>212</v>
      </c>
      <c r="AJ16" t="s">
        <v>211</v>
      </c>
      <c r="AK16">
        <v>0.80999999999999994</v>
      </c>
      <c r="AL16" t="s">
        <v>226</v>
      </c>
      <c r="AM16" t="s">
        <v>219</v>
      </c>
      <c r="AN16" t="s">
        <v>215</v>
      </c>
      <c r="AO16" t="s">
        <v>216</v>
      </c>
      <c r="AP16" t="s">
        <v>217</v>
      </c>
      <c r="AQ16" t="s">
        <v>227</v>
      </c>
      <c r="AR16" t="s">
        <v>219</v>
      </c>
      <c r="AS16" t="s">
        <v>219</v>
      </c>
      <c r="AT16" t="s">
        <v>221</v>
      </c>
      <c r="AU16" t="s">
        <v>211</v>
      </c>
      <c r="AV16">
        <v>363</v>
      </c>
      <c r="AW16">
        <v>210</v>
      </c>
      <c r="AX16">
        <v>253</v>
      </c>
      <c r="AY16">
        <f t="shared" si="0"/>
        <v>275.33333333333331</v>
      </c>
      <c r="AZ16" t="s">
        <v>212</v>
      </c>
      <c r="BA16">
        <v>3.11</v>
      </c>
      <c r="BB16">
        <v>1.8</v>
      </c>
      <c r="BC16" t="s">
        <v>212</v>
      </c>
      <c r="BD16">
        <v>1.8</v>
      </c>
      <c r="BE16" t="s">
        <v>230</v>
      </c>
      <c r="BF16">
        <v>8.7750000000000004</v>
      </c>
      <c r="BG16" t="s">
        <v>229</v>
      </c>
      <c r="BH16">
        <v>1.17</v>
      </c>
      <c r="BI16">
        <v>0.6</v>
      </c>
      <c r="BJ16">
        <v>0.86</v>
      </c>
      <c r="BK16" t="s">
        <v>221</v>
      </c>
      <c r="BL16">
        <v>2</v>
      </c>
      <c r="BM16">
        <v>1</v>
      </c>
      <c r="BN16">
        <v>2</v>
      </c>
      <c r="BO16">
        <v>3</v>
      </c>
      <c r="BP16">
        <v>2</v>
      </c>
      <c r="BQ16">
        <v>3</v>
      </c>
      <c r="BR16">
        <v>4</v>
      </c>
      <c r="BS16">
        <v>1</v>
      </c>
      <c r="BT16">
        <v>2</v>
      </c>
      <c r="BU16">
        <v>4</v>
      </c>
      <c r="BV16">
        <v>4</v>
      </c>
      <c r="BW16">
        <v>2</v>
      </c>
      <c r="BX16">
        <v>2</v>
      </c>
      <c r="BY16">
        <v>2</v>
      </c>
      <c r="BZ16">
        <v>1</v>
      </c>
      <c r="CA16">
        <v>6</v>
      </c>
      <c r="CB16">
        <v>4</v>
      </c>
      <c r="CC16">
        <v>4</v>
      </c>
      <c r="CD16">
        <v>1</v>
      </c>
      <c r="CE16">
        <v>1</v>
      </c>
      <c r="CF16">
        <v>6</v>
      </c>
      <c r="CG16">
        <v>2</v>
      </c>
      <c r="CH16">
        <v>2</v>
      </c>
      <c r="CI16">
        <v>2</v>
      </c>
      <c r="CJ16">
        <v>7</v>
      </c>
      <c r="CK16">
        <v>7</v>
      </c>
      <c r="CL16">
        <v>5</v>
      </c>
      <c r="CM16">
        <v>1</v>
      </c>
      <c r="CN16" t="s">
        <v>223</v>
      </c>
      <c r="CO16">
        <v>2</v>
      </c>
      <c r="CP16">
        <v>3</v>
      </c>
      <c r="CQ16">
        <v>7</v>
      </c>
      <c r="CR16">
        <v>2</v>
      </c>
      <c r="CS16">
        <v>2</v>
      </c>
      <c r="CT16">
        <v>4</v>
      </c>
      <c r="CU16">
        <v>6</v>
      </c>
      <c r="CV16">
        <v>3</v>
      </c>
      <c r="CW16">
        <v>1</v>
      </c>
      <c r="CX16" t="s">
        <v>15</v>
      </c>
      <c r="CY16">
        <v>7</v>
      </c>
      <c r="CZ16">
        <v>1</v>
      </c>
      <c r="DA16">
        <v>3</v>
      </c>
      <c r="DB16">
        <v>2</v>
      </c>
      <c r="DC16">
        <v>4</v>
      </c>
      <c r="DD16">
        <v>3</v>
      </c>
      <c r="DE16">
        <v>6</v>
      </c>
      <c r="DF16">
        <v>4</v>
      </c>
      <c r="DG16">
        <v>5</v>
      </c>
      <c r="DH16" t="s">
        <v>223</v>
      </c>
      <c r="DI16" t="s">
        <v>223</v>
      </c>
      <c r="DJ16"/>
      <c r="DK16"/>
      <c r="DL16"/>
      <c r="DM16"/>
      <c r="DN16"/>
      <c r="DO16"/>
      <c r="DP16"/>
      <c r="DQ16"/>
      <c r="DR16"/>
      <c r="DS16"/>
    </row>
    <row r="17" spans="1:123" s="30" customFormat="1" ht="12" customHeight="1">
      <c r="A17" s="25">
        <v>43665.473645833335</v>
      </c>
      <c r="B17" s="28" t="s">
        <v>37</v>
      </c>
      <c r="C17" s="26">
        <f t="shared" si="1"/>
        <v>16</v>
      </c>
      <c r="D17" s="73" t="s">
        <v>139</v>
      </c>
      <c r="E17" s="27" t="s">
        <v>19</v>
      </c>
      <c r="F17" s="26">
        <v>10</v>
      </c>
      <c r="G17" s="28">
        <v>22.8</v>
      </c>
      <c r="H17" s="28">
        <v>49.5</v>
      </c>
      <c r="I17" s="28">
        <v>561</v>
      </c>
      <c r="J17" s="28">
        <v>0.7</v>
      </c>
      <c r="K17" s="28">
        <v>80</v>
      </c>
      <c r="L17" s="43">
        <v>0.59000000000000008</v>
      </c>
      <c r="M17" s="74">
        <v>21.494</v>
      </c>
      <c r="N17" s="28">
        <v>0.03</v>
      </c>
      <c r="O17" s="28">
        <v>44.6</v>
      </c>
      <c r="P17" s="43">
        <v>0</v>
      </c>
      <c r="Q17" s="29"/>
      <c r="R17" s="43">
        <v>330</v>
      </c>
      <c r="S17" s="43">
        <v>353</v>
      </c>
      <c r="T17" s="43">
        <v>170.5</v>
      </c>
      <c r="U17" s="29"/>
      <c r="V17" s="29">
        <f t="shared" si="2"/>
        <v>341.5</v>
      </c>
      <c r="W17" s="31"/>
      <c r="X17" s="43">
        <v>4.5</v>
      </c>
      <c r="Y17" s="43">
        <v>0.6</v>
      </c>
      <c r="Z17" s="43">
        <v>7.6</v>
      </c>
      <c r="AA17" s="43">
        <v>8.1999999999999993</v>
      </c>
      <c r="AB17" s="43">
        <v>12.7</v>
      </c>
      <c r="AC17" s="43"/>
      <c r="AD17" s="43">
        <v>4</v>
      </c>
      <c r="AE17" s="29"/>
      <c r="AF17" s="89" t="s">
        <v>251</v>
      </c>
      <c r="AG17" t="s">
        <v>211</v>
      </c>
      <c r="AH17" t="s">
        <v>212</v>
      </c>
      <c r="AI17" t="s">
        <v>212</v>
      </c>
      <c r="AJ17" t="s">
        <v>211</v>
      </c>
      <c r="AK17">
        <v>0.59000000000000008</v>
      </c>
      <c r="AL17" t="s">
        <v>226</v>
      </c>
      <c r="AM17" t="s">
        <v>219</v>
      </c>
      <c r="AN17" t="s">
        <v>215</v>
      </c>
      <c r="AO17" t="s">
        <v>216</v>
      </c>
      <c r="AP17" t="s">
        <v>217</v>
      </c>
      <c r="AQ17" t="s">
        <v>227</v>
      </c>
      <c r="AR17" t="s">
        <v>219</v>
      </c>
      <c r="AS17" t="s">
        <v>252</v>
      </c>
      <c r="AT17" t="s">
        <v>221</v>
      </c>
      <c r="AU17" t="s">
        <v>211</v>
      </c>
      <c r="AV17">
        <v>330</v>
      </c>
      <c r="AW17">
        <v>353</v>
      </c>
      <c r="AX17">
        <v>170.5</v>
      </c>
      <c r="AY17">
        <f t="shared" si="0"/>
        <v>284.5</v>
      </c>
      <c r="AZ17" t="s">
        <v>211</v>
      </c>
      <c r="BA17">
        <v>3.7</v>
      </c>
      <c r="BB17" t="s">
        <v>221</v>
      </c>
      <c r="BC17" t="s">
        <v>211</v>
      </c>
      <c r="BD17">
        <v>0.7</v>
      </c>
      <c r="BE17" t="s">
        <v>230</v>
      </c>
      <c r="BF17">
        <v>6.6</v>
      </c>
      <c r="BG17" t="s">
        <v>229</v>
      </c>
      <c r="BH17">
        <v>2</v>
      </c>
      <c r="BI17">
        <v>0.49</v>
      </c>
      <c r="BJ17">
        <v>0.72</v>
      </c>
      <c r="BK17" t="s">
        <v>221</v>
      </c>
      <c r="BL17">
        <v>2</v>
      </c>
      <c r="BM17">
        <v>2</v>
      </c>
      <c r="BN17">
        <v>4</v>
      </c>
      <c r="BO17">
        <v>3</v>
      </c>
      <c r="BP17">
        <v>3</v>
      </c>
      <c r="BQ17">
        <v>3</v>
      </c>
      <c r="BR17">
        <v>4</v>
      </c>
      <c r="BS17">
        <v>1</v>
      </c>
      <c r="BT17">
        <v>2</v>
      </c>
      <c r="BU17">
        <v>5</v>
      </c>
      <c r="BV17">
        <v>6</v>
      </c>
      <c r="BW17">
        <v>5</v>
      </c>
      <c r="BX17">
        <v>3</v>
      </c>
      <c r="BY17">
        <v>1</v>
      </c>
      <c r="BZ17">
        <v>1</v>
      </c>
      <c r="CA17">
        <v>6</v>
      </c>
      <c r="CB17">
        <v>3</v>
      </c>
      <c r="CC17">
        <v>6</v>
      </c>
      <c r="CD17">
        <v>2</v>
      </c>
      <c r="CE17">
        <v>1</v>
      </c>
      <c r="CF17">
        <v>6</v>
      </c>
      <c r="CG17">
        <v>1</v>
      </c>
      <c r="CH17">
        <v>2</v>
      </c>
      <c r="CI17">
        <v>6</v>
      </c>
      <c r="CJ17">
        <v>6</v>
      </c>
      <c r="CK17">
        <v>5</v>
      </c>
      <c r="CL17">
        <v>5</v>
      </c>
      <c r="CM17">
        <v>1</v>
      </c>
      <c r="CN17" t="s">
        <v>223</v>
      </c>
      <c r="CO17">
        <v>1</v>
      </c>
      <c r="CP17">
        <v>6</v>
      </c>
      <c r="CQ17">
        <v>6</v>
      </c>
      <c r="CR17">
        <v>1</v>
      </c>
      <c r="CS17">
        <v>1</v>
      </c>
      <c r="CT17">
        <v>7</v>
      </c>
      <c r="CU17">
        <v>6</v>
      </c>
      <c r="CV17">
        <v>2</v>
      </c>
      <c r="CW17">
        <v>2</v>
      </c>
      <c r="CX17" t="s">
        <v>253</v>
      </c>
      <c r="CY17">
        <v>6</v>
      </c>
      <c r="CZ17">
        <v>1</v>
      </c>
      <c r="DA17">
        <v>3</v>
      </c>
      <c r="DB17">
        <v>1</v>
      </c>
      <c r="DC17">
        <v>6</v>
      </c>
      <c r="DD17">
        <v>3</v>
      </c>
      <c r="DE17">
        <v>6</v>
      </c>
      <c r="DF17">
        <v>5</v>
      </c>
      <c r="DG17">
        <v>2</v>
      </c>
      <c r="DH17" t="s">
        <v>254</v>
      </c>
      <c r="DI17" t="s">
        <v>223</v>
      </c>
      <c r="DJ17"/>
      <c r="DK17"/>
      <c r="DL17"/>
      <c r="DM17"/>
      <c r="DN17"/>
      <c r="DO17"/>
      <c r="DP17"/>
      <c r="DQ17"/>
      <c r="DR17"/>
      <c r="DS17"/>
    </row>
    <row r="18" spans="1:123" s="30" customFormat="1" ht="12" customHeight="1">
      <c r="A18" s="25">
        <v>43665.492974537039</v>
      </c>
      <c r="B18" s="28" t="s">
        <v>38</v>
      </c>
      <c r="C18" s="26">
        <f t="shared" si="1"/>
        <v>17</v>
      </c>
      <c r="D18" s="73" t="s">
        <v>139</v>
      </c>
      <c r="E18" s="27" t="s">
        <v>19</v>
      </c>
      <c r="F18" s="26">
        <v>10</v>
      </c>
      <c r="G18" s="28">
        <v>22.9</v>
      </c>
      <c r="H18" s="28">
        <v>50.3</v>
      </c>
      <c r="I18" s="28">
        <v>592</v>
      </c>
      <c r="J18" s="28">
        <v>0.9</v>
      </c>
      <c r="K18" s="28">
        <v>84</v>
      </c>
      <c r="L18" s="43">
        <v>0.51</v>
      </c>
      <c r="M18" s="74">
        <v>23.750800000000002</v>
      </c>
      <c r="N18" s="28">
        <v>0.01</v>
      </c>
      <c r="O18" s="28">
        <v>44.6</v>
      </c>
      <c r="P18" s="43">
        <v>1.25</v>
      </c>
      <c r="Q18" s="29"/>
      <c r="R18" s="43">
        <v>650</v>
      </c>
      <c r="S18" s="43">
        <v>436</v>
      </c>
      <c r="T18" s="43">
        <v>176.2</v>
      </c>
      <c r="U18" s="29"/>
      <c r="V18" s="29">
        <f t="shared" si="2"/>
        <v>543</v>
      </c>
      <c r="W18" s="31"/>
      <c r="X18" s="43">
        <v>3.7</v>
      </c>
      <c r="Y18" s="43">
        <v>4.5</v>
      </c>
      <c r="Z18" s="43">
        <v>18.7</v>
      </c>
      <c r="AA18" s="43">
        <v>23.2</v>
      </c>
      <c r="AB18" s="43">
        <v>26.9</v>
      </c>
      <c r="AC18" s="43"/>
      <c r="AD18" s="43">
        <v>6</v>
      </c>
      <c r="AE18" s="29"/>
      <c r="AF18" s="89" t="s">
        <v>225</v>
      </c>
      <c r="AG18" t="s">
        <v>211</v>
      </c>
      <c r="AH18" t="s">
        <v>212</v>
      </c>
      <c r="AI18" t="s">
        <v>212</v>
      </c>
      <c r="AJ18" t="s">
        <v>212</v>
      </c>
      <c r="AK18">
        <v>0.51</v>
      </c>
      <c r="AL18" t="s">
        <v>226</v>
      </c>
      <c r="AM18" t="s">
        <v>255</v>
      </c>
      <c r="AN18" t="s">
        <v>215</v>
      </c>
      <c r="AO18" t="s">
        <v>216</v>
      </c>
      <c r="AP18" t="s">
        <v>217</v>
      </c>
      <c r="AQ18" t="s">
        <v>227</v>
      </c>
      <c r="AR18" t="s">
        <v>219</v>
      </c>
      <c r="AS18" t="s">
        <v>252</v>
      </c>
      <c r="AT18" t="s">
        <v>227</v>
      </c>
      <c r="AU18" t="s">
        <v>211</v>
      </c>
      <c r="AV18">
        <v>650</v>
      </c>
      <c r="AW18">
        <v>436</v>
      </c>
      <c r="AX18">
        <v>176.2</v>
      </c>
      <c r="AY18">
        <f t="shared" si="0"/>
        <v>420.73333333333335</v>
      </c>
      <c r="AZ18" t="s">
        <v>211</v>
      </c>
      <c r="BA18">
        <v>3.6</v>
      </c>
      <c r="BB18">
        <v>0</v>
      </c>
      <c r="BC18" t="s">
        <v>212</v>
      </c>
      <c r="BD18">
        <v>3.2</v>
      </c>
      <c r="BE18" t="s">
        <v>256</v>
      </c>
      <c r="BF18">
        <v>6.4</v>
      </c>
      <c r="BG18" t="s">
        <v>224</v>
      </c>
      <c r="BH18">
        <v>2.82</v>
      </c>
      <c r="BI18">
        <v>0.6</v>
      </c>
      <c r="BJ18">
        <v>0.75</v>
      </c>
      <c r="BK18">
        <v>1.25</v>
      </c>
      <c r="BL18">
        <v>1</v>
      </c>
      <c r="BM18">
        <v>2</v>
      </c>
      <c r="BN18">
        <v>4</v>
      </c>
      <c r="BO18">
        <v>3</v>
      </c>
      <c r="BP18">
        <v>1</v>
      </c>
      <c r="BQ18">
        <v>5</v>
      </c>
      <c r="BR18">
        <v>6</v>
      </c>
      <c r="BS18">
        <v>2</v>
      </c>
      <c r="BT18">
        <v>2</v>
      </c>
      <c r="BU18">
        <v>6</v>
      </c>
      <c r="BV18">
        <v>6</v>
      </c>
      <c r="BW18">
        <v>5</v>
      </c>
      <c r="BX18">
        <v>4</v>
      </c>
      <c r="BY18">
        <v>3</v>
      </c>
      <c r="BZ18">
        <v>2</v>
      </c>
      <c r="CA18">
        <v>6</v>
      </c>
      <c r="CB18">
        <v>3</v>
      </c>
      <c r="CC18">
        <v>6</v>
      </c>
      <c r="CD18">
        <v>2</v>
      </c>
      <c r="CE18">
        <v>1</v>
      </c>
      <c r="CF18">
        <v>7</v>
      </c>
      <c r="CG18">
        <v>2</v>
      </c>
      <c r="CH18">
        <v>2</v>
      </c>
      <c r="CI18">
        <v>7</v>
      </c>
      <c r="CJ18">
        <v>6</v>
      </c>
      <c r="CK18">
        <v>7</v>
      </c>
      <c r="CL18">
        <v>2</v>
      </c>
      <c r="CM18">
        <v>1</v>
      </c>
      <c r="CN18" t="s">
        <v>223</v>
      </c>
      <c r="CO18">
        <v>1</v>
      </c>
      <c r="CP18">
        <v>7</v>
      </c>
      <c r="CQ18">
        <v>7</v>
      </c>
      <c r="CR18">
        <v>2</v>
      </c>
      <c r="CS18">
        <v>1</v>
      </c>
      <c r="CT18">
        <v>3</v>
      </c>
      <c r="CU18">
        <v>7</v>
      </c>
      <c r="CV18">
        <v>2</v>
      </c>
      <c r="CW18">
        <v>3</v>
      </c>
      <c r="CX18" t="s">
        <v>235</v>
      </c>
      <c r="CY18">
        <v>3</v>
      </c>
      <c r="CZ18">
        <v>1</v>
      </c>
      <c r="DA18">
        <v>3</v>
      </c>
      <c r="DB18">
        <v>1</v>
      </c>
      <c r="DC18">
        <v>3</v>
      </c>
      <c r="DD18">
        <v>2</v>
      </c>
      <c r="DE18">
        <v>3</v>
      </c>
      <c r="DF18">
        <v>5</v>
      </c>
      <c r="DG18">
        <v>2</v>
      </c>
      <c r="DH18" t="s">
        <v>223</v>
      </c>
      <c r="DI18" t="s">
        <v>223</v>
      </c>
      <c r="DJ18"/>
      <c r="DK18"/>
      <c r="DL18"/>
      <c r="DM18"/>
      <c r="DN18"/>
      <c r="DO18"/>
      <c r="DP18"/>
      <c r="DQ18"/>
      <c r="DR18"/>
      <c r="DS18"/>
    </row>
    <row r="19" spans="1:123" s="30" customFormat="1" ht="12" customHeight="1">
      <c r="A19" s="25">
        <v>43665.501296296294</v>
      </c>
      <c r="B19" s="28" t="s">
        <v>39</v>
      </c>
      <c r="C19" s="26">
        <f t="shared" si="1"/>
        <v>18</v>
      </c>
      <c r="D19" s="73" t="s">
        <v>139</v>
      </c>
      <c r="E19" s="27" t="s">
        <v>19</v>
      </c>
      <c r="F19" s="26">
        <v>10</v>
      </c>
      <c r="G19" s="28">
        <v>19.399999999999999</v>
      </c>
      <c r="H19" s="28">
        <v>58.1</v>
      </c>
      <c r="I19" s="28">
        <v>605</v>
      </c>
      <c r="J19" s="28">
        <v>0.9</v>
      </c>
      <c r="K19" s="28">
        <v>85</v>
      </c>
      <c r="L19" s="43">
        <v>0.51</v>
      </c>
      <c r="M19" s="74">
        <v>22.783999999999999</v>
      </c>
      <c r="N19" s="28">
        <v>0.31</v>
      </c>
      <c r="O19" s="28">
        <v>52.6</v>
      </c>
      <c r="P19" s="43">
        <v>0</v>
      </c>
      <c r="Q19" s="29"/>
      <c r="R19" s="43">
        <v>1160</v>
      </c>
      <c r="S19" s="43">
        <v>630</v>
      </c>
      <c r="T19" s="43">
        <v>379</v>
      </c>
      <c r="U19" s="29"/>
      <c r="V19" s="29">
        <f t="shared" si="2"/>
        <v>895</v>
      </c>
      <c r="W19" s="31"/>
      <c r="X19" s="43">
        <v>5.2</v>
      </c>
      <c r="Y19" s="43">
        <v>4</v>
      </c>
      <c r="Z19" s="43">
        <v>15.6</v>
      </c>
      <c r="AA19" s="43">
        <v>19.600000000000001</v>
      </c>
      <c r="AB19" s="43">
        <v>24.8</v>
      </c>
      <c r="AC19" s="43"/>
      <c r="AD19" s="43">
        <v>6</v>
      </c>
      <c r="AE19" s="29"/>
      <c r="AF19" s="89" t="s">
        <v>210</v>
      </c>
      <c r="AG19" t="s">
        <v>211</v>
      </c>
      <c r="AH19" t="s">
        <v>212</v>
      </c>
      <c r="AI19" t="s">
        <v>212</v>
      </c>
      <c r="AJ19" t="s">
        <v>211</v>
      </c>
      <c r="AK19">
        <v>0.51</v>
      </c>
      <c r="AL19" t="s">
        <v>226</v>
      </c>
      <c r="AM19" t="s">
        <v>219</v>
      </c>
      <c r="AN19" t="s">
        <v>215</v>
      </c>
      <c r="AO19" t="s">
        <v>216</v>
      </c>
      <c r="AP19" t="s">
        <v>217</v>
      </c>
      <c r="AQ19" t="s">
        <v>227</v>
      </c>
      <c r="AR19" t="s">
        <v>219</v>
      </c>
      <c r="AS19" t="s">
        <v>252</v>
      </c>
      <c r="AT19" t="s">
        <v>221</v>
      </c>
      <c r="AU19" t="s">
        <v>211</v>
      </c>
      <c r="AV19">
        <v>1160</v>
      </c>
      <c r="AW19">
        <v>630</v>
      </c>
      <c r="AX19">
        <v>379</v>
      </c>
      <c r="AY19">
        <f t="shared" si="0"/>
        <v>723</v>
      </c>
      <c r="AZ19" t="s">
        <v>211</v>
      </c>
      <c r="BA19">
        <v>3.53</v>
      </c>
      <c r="BB19">
        <v>0</v>
      </c>
      <c r="BC19" t="s">
        <v>212</v>
      </c>
      <c r="BD19">
        <v>0</v>
      </c>
      <c r="BE19" t="s">
        <v>230</v>
      </c>
      <c r="BF19">
        <v>8.6</v>
      </c>
      <c r="BG19" t="s">
        <v>229</v>
      </c>
      <c r="BH19">
        <v>3.4299999999999899</v>
      </c>
      <c r="BI19">
        <v>0.75</v>
      </c>
      <c r="BJ19">
        <v>0.84</v>
      </c>
      <c r="BK19" t="s">
        <v>221</v>
      </c>
      <c r="BL19">
        <v>1</v>
      </c>
      <c r="BM19">
        <v>3</v>
      </c>
      <c r="BN19">
        <v>4</v>
      </c>
      <c r="BO19">
        <v>2</v>
      </c>
      <c r="BP19">
        <v>2</v>
      </c>
      <c r="BQ19">
        <v>3</v>
      </c>
      <c r="BR19">
        <v>6</v>
      </c>
      <c r="BS19">
        <v>2</v>
      </c>
      <c r="BT19">
        <v>2</v>
      </c>
      <c r="BU19">
        <v>5</v>
      </c>
      <c r="BV19">
        <v>5</v>
      </c>
      <c r="BW19">
        <v>6</v>
      </c>
      <c r="BX19">
        <v>3</v>
      </c>
      <c r="BY19">
        <v>3</v>
      </c>
      <c r="BZ19">
        <v>2</v>
      </c>
      <c r="CA19">
        <v>7</v>
      </c>
      <c r="CB19">
        <v>2</v>
      </c>
      <c r="CC19">
        <v>5</v>
      </c>
      <c r="CD19">
        <v>2</v>
      </c>
      <c r="CE19">
        <v>1</v>
      </c>
      <c r="CF19">
        <v>5</v>
      </c>
      <c r="CG19">
        <v>1</v>
      </c>
      <c r="CH19">
        <v>3</v>
      </c>
      <c r="CI19">
        <v>7</v>
      </c>
      <c r="CJ19">
        <v>3</v>
      </c>
      <c r="CK19">
        <v>1</v>
      </c>
      <c r="CL19">
        <v>2</v>
      </c>
      <c r="CM19">
        <v>1</v>
      </c>
      <c r="CN19" t="s">
        <v>223</v>
      </c>
      <c r="CO19">
        <v>1</v>
      </c>
      <c r="CP19">
        <v>7</v>
      </c>
      <c r="CQ19">
        <v>7</v>
      </c>
      <c r="CR19">
        <v>1</v>
      </c>
      <c r="CS19">
        <v>1</v>
      </c>
      <c r="CT19">
        <v>6</v>
      </c>
      <c r="CU19">
        <v>6</v>
      </c>
      <c r="CV19">
        <v>2</v>
      </c>
      <c r="CW19">
        <v>3</v>
      </c>
      <c r="CX19" t="s">
        <v>257</v>
      </c>
      <c r="CY19">
        <v>6</v>
      </c>
      <c r="CZ19">
        <v>1</v>
      </c>
      <c r="DA19">
        <v>3</v>
      </c>
      <c r="DB19">
        <v>2</v>
      </c>
      <c r="DC19">
        <v>6</v>
      </c>
      <c r="DD19">
        <v>3</v>
      </c>
      <c r="DE19">
        <v>4</v>
      </c>
      <c r="DF19">
        <v>3</v>
      </c>
      <c r="DG19">
        <v>2</v>
      </c>
      <c r="DH19" t="s">
        <v>258</v>
      </c>
      <c r="DI19" t="s">
        <v>223</v>
      </c>
      <c r="DJ19"/>
      <c r="DK19"/>
      <c r="DL19"/>
      <c r="DM19"/>
      <c r="DN19"/>
      <c r="DO19"/>
      <c r="DP19"/>
      <c r="DQ19"/>
      <c r="DR19"/>
      <c r="DS19"/>
    </row>
    <row r="20" spans="1:123" s="30" customFormat="1" ht="12" customHeight="1">
      <c r="A20" s="25">
        <v>43665.520914351851</v>
      </c>
      <c r="B20" s="28" t="s">
        <v>40</v>
      </c>
      <c r="C20" s="26">
        <f t="shared" si="1"/>
        <v>19</v>
      </c>
      <c r="D20" s="73" t="s">
        <v>139</v>
      </c>
      <c r="E20" s="27" t="s">
        <v>19</v>
      </c>
      <c r="F20" s="26">
        <v>10</v>
      </c>
      <c r="G20" s="28">
        <v>23.2</v>
      </c>
      <c r="H20" s="28">
        <v>50</v>
      </c>
      <c r="I20" s="28">
        <v>486</v>
      </c>
      <c r="J20" s="28">
        <v>0.6</v>
      </c>
      <c r="K20" s="28">
        <v>78</v>
      </c>
      <c r="L20" s="43">
        <v>0.45000000000000007</v>
      </c>
      <c r="M20" s="74">
        <v>19.869599999999998</v>
      </c>
      <c r="N20" s="28">
        <v>0</v>
      </c>
      <c r="O20" s="28">
        <v>44.9</v>
      </c>
      <c r="P20" s="43">
        <v>1.25</v>
      </c>
      <c r="Q20" s="29"/>
      <c r="R20" s="43">
        <v>177.5</v>
      </c>
      <c r="S20" s="43">
        <v>211</v>
      </c>
      <c r="T20" s="43">
        <v>410</v>
      </c>
      <c r="U20" s="29"/>
      <c r="V20" s="29">
        <f t="shared" si="2"/>
        <v>194.25</v>
      </c>
      <c r="W20" s="31"/>
      <c r="X20" s="43">
        <v>3.1</v>
      </c>
      <c r="Y20" s="43">
        <v>0</v>
      </c>
      <c r="Z20" s="43">
        <v>5.5</v>
      </c>
      <c r="AA20" s="43">
        <v>5.5</v>
      </c>
      <c r="AB20" s="43">
        <v>8.6</v>
      </c>
      <c r="AC20" s="43"/>
      <c r="AD20" s="43">
        <v>7</v>
      </c>
      <c r="AE20" s="29"/>
      <c r="AF20" s="89" t="s">
        <v>251</v>
      </c>
      <c r="AG20" t="s">
        <v>211</v>
      </c>
      <c r="AH20" t="s">
        <v>212</v>
      </c>
      <c r="AI20" t="s">
        <v>212</v>
      </c>
      <c r="AJ20" t="s">
        <v>259</v>
      </c>
      <c r="AK20">
        <v>0.45000000000000007</v>
      </c>
      <c r="AL20" t="s">
        <v>226</v>
      </c>
      <c r="AM20" t="s">
        <v>255</v>
      </c>
      <c r="AN20" t="s">
        <v>215</v>
      </c>
      <c r="AO20" t="s">
        <v>234</v>
      </c>
      <c r="AP20" t="s">
        <v>217</v>
      </c>
      <c r="AQ20" t="s">
        <v>227</v>
      </c>
      <c r="AR20" t="s">
        <v>219</v>
      </c>
      <c r="AS20" t="s">
        <v>252</v>
      </c>
      <c r="AT20" t="s">
        <v>227</v>
      </c>
      <c r="AU20" t="s">
        <v>211</v>
      </c>
      <c r="AV20">
        <v>177.5</v>
      </c>
      <c r="AW20">
        <v>211</v>
      </c>
      <c r="AX20">
        <v>410</v>
      </c>
      <c r="AY20">
        <f t="shared" si="0"/>
        <v>266.16666666666669</v>
      </c>
      <c r="AZ20" t="s">
        <v>211</v>
      </c>
      <c r="BA20">
        <v>3.6</v>
      </c>
      <c r="BB20">
        <v>0</v>
      </c>
      <c r="BC20" t="s">
        <v>212</v>
      </c>
      <c r="BD20">
        <v>3.3</v>
      </c>
      <c r="BE20" t="s">
        <v>230</v>
      </c>
      <c r="BF20">
        <v>5.9</v>
      </c>
      <c r="BG20" t="s">
        <v>229</v>
      </c>
      <c r="BH20">
        <v>2.8</v>
      </c>
      <c r="BI20">
        <v>0.6</v>
      </c>
      <c r="BJ20">
        <v>0.74</v>
      </c>
      <c r="BK20">
        <v>1.25</v>
      </c>
      <c r="BL20">
        <v>1</v>
      </c>
      <c r="BM20">
        <v>3</v>
      </c>
      <c r="BN20">
        <v>4</v>
      </c>
      <c r="BO20">
        <v>2</v>
      </c>
      <c r="BP20">
        <v>2</v>
      </c>
      <c r="BQ20">
        <v>4</v>
      </c>
      <c r="BR20">
        <v>7</v>
      </c>
      <c r="BS20">
        <v>2</v>
      </c>
      <c r="BT20">
        <v>2</v>
      </c>
      <c r="BU20">
        <v>4</v>
      </c>
      <c r="BV20">
        <v>3</v>
      </c>
      <c r="BW20">
        <v>4</v>
      </c>
      <c r="BX20">
        <v>4</v>
      </c>
      <c r="BY20">
        <v>3</v>
      </c>
      <c r="BZ20">
        <v>2</v>
      </c>
      <c r="CA20">
        <v>6</v>
      </c>
      <c r="CB20">
        <v>4</v>
      </c>
      <c r="CC20">
        <v>5</v>
      </c>
      <c r="CD20">
        <v>2</v>
      </c>
      <c r="CE20">
        <v>1</v>
      </c>
      <c r="CF20">
        <v>6</v>
      </c>
      <c r="CG20">
        <v>1</v>
      </c>
      <c r="CH20">
        <v>2</v>
      </c>
      <c r="CI20">
        <v>6</v>
      </c>
      <c r="CJ20">
        <v>6</v>
      </c>
      <c r="CK20">
        <v>6</v>
      </c>
      <c r="CL20">
        <v>3</v>
      </c>
      <c r="CM20">
        <v>1</v>
      </c>
      <c r="CN20" t="s">
        <v>223</v>
      </c>
      <c r="CO20">
        <v>1</v>
      </c>
      <c r="CP20">
        <v>6</v>
      </c>
      <c r="CQ20">
        <v>6</v>
      </c>
      <c r="CR20">
        <v>1</v>
      </c>
      <c r="CS20">
        <v>1</v>
      </c>
      <c r="CT20">
        <v>5</v>
      </c>
      <c r="CU20">
        <v>6</v>
      </c>
      <c r="CV20">
        <v>2</v>
      </c>
      <c r="CW20">
        <v>2</v>
      </c>
      <c r="CX20" t="s">
        <v>15</v>
      </c>
      <c r="CY20">
        <v>6</v>
      </c>
      <c r="CZ20">
        <v>1</v>
      </c>
      <c r="DA20">
        <v>3</v>
      </c>
      <c r="DB20">
        <v>2</v>
      </c>
      <c r="DC20">
        <v>6</v>
      </c>
      <c r="DD20">
        <v>3</v>
      </c>
      <c r="DE20">
        <v>6</v>
      </c>
      <c r="DF20">
        <v>6</v>
      </c>
      <c r="DG20">
        <v>4</v>
      </c>
      <c r="DH20" t="s">
        <v>223</v>
      </c>
      <c r="DI20" t="s">
        <v>223</v>
      </c>
      <c r="DJ20"/>
      <c r="DK20"/>
      <c r="DL20"/>
      <c r="DM20"/>
      <c r="DN20"/>
      <c r="DO20"/>
      <c r="DP20"/>
      <c r="DQ20"/>
      <c r="DR20"/>
      <c r="DS20"/>
    </row>
    <row r="21" spans="1:123" s="30" customFormat="1" ht="12" customHeight="1">
      <c r="A21" s="25">
        <v>43665.539259259262</v>
      </c>
      <c r="B21" s="28" t="s">
        <v>41</v>
      </c>
      <c r="C21" s="26">
        <f t="shared" si="1"/>
        <v>20</v>
      </c>
      <c r="D21" s="73" t="s">
        <v>139</v>
      </c>
      <c r="E21" s="27" t="s">
        <v>19</v>
      </c>
      <c r="F21" s="26">
        <v>10</v>
      </c>
      <c r="G21" s="28">
        <v>22.8</v>
      </c>
      <c r="H21" s="28">
        <v>50</v>
      </c>
      <c r="I21" s="28">
        <v>556</v>
      </c>
      <c r="J21" s="28">
        <v>0.9</v>
      </c>
      <c r="K21" s="28">
        <v>80</v>
      </c>
      <c r="L21" s="43">
        <v>0.69000000000000006</v>
      </c>
      <c r="M21" s="74">
        <v>24.0931</v>
      </c>
      <c r="N21" s="28">
        <v>0.02</v>
      </c>
      <c r="O21" s="28">
        <v>43.2</v>
      </c>
      <c r="P21" s="43">
        <v>1.08</v>
      </c>
      <c r="Q21" s="29"/>
      <c r="R21" s="43">
        <v>315</v>
      </c>
      <c r="S21" s="43">
        <v>193</v>
      </c>
      <c r="T21" s="43">
        <v>316</v>
      </c>
      <c r="U21" s="29"/>
      <c r="V21" s="29">
        <f t="shared" si="2"/>
        <v>254</v>
      </c>
      <c r="W21" s="31"/>
      <c r="X21" s="43">
        <v>3.9</v>
      </c>
      <c r="Y21" s="43">
        <v>1.3</v>
      </c>
      <c r="Z21" s="43">
        <v>14.5</v>
      </c>
      <c r="AA21" s="43">
        <v>15.8</v>
      </c>
      <c r="AB21" s="43">
        <v>19.7</v>
      </c>
      <c r="AC21" s="43"/>
      <c r="AD21" s="43">
        <v>3</v>
      </c>
      <c r="AE21" s="29"/>
      <c r="AF21" s="89" t="s">
        <v>225</v>
      </c>
      <c r="AG21" t="s">
        <v>211</v>
      </c>
      <c r="AH21" t="s">
        <v>212</v>
      </c>
      <c r="AI21" t="s">
        <v>212</v>
      </c>
      <c r="AJ21" t="s">
        <v>212</v>
      </c>
      <c r="AK21">
        <v>0.69000000000000006</v>
      </c>
      <c r="AL21" t="s">
        <v>226</v>
      </c>
      <c r="AM21" t="s">
        <v>219</v>
      </c>
      <c r="AN21" t="s">
        <v>215</v>
      </c>
      <c r="AO21" t="s">
        <v>216</v>
      </c>
      <c r="AP21" t="s">
        <v>217</v>
      </c>
      <c r="AQ21" t="s">
        <v>227</v>
      </c>
      <c r="AR21" t="s">
        <v>219</v>
      </c>
      <c r="AS21" t="s">
        <v>252</v>
      </c>
      <c r="AT21" t="s">
        <v>221</v>
      </c>
      <c r="AU21" t="s">
        <v>211</v>
      </c>
      <c r="AV21">
        <v>315</v>
      </c>
      <c r="AW21">
        <v>193</v>
      </c>
      <c r="AX21">
        <v>316</v>
      </c>
      <c r="AY21">
        <f t="shared" si="0"/>
        <v>274.66666666666669</v>
      </c>
      <c r="AZ21" t="s">
        <v>211</v>
      </c>
      <c r="BA21">
        <v>3.6</v>
      </c>
      <c r="BB21" t="s">
        <v>221</v>
      </c>
      <c r="BC21" t="s">
        <v>211</v>
      </c>
      <c r="BD21">
        <v>2.87</v>
      </c>
      <c r="BE21" t="s">
        <v>222</v>
      </c>
      <c r="BF21">
        <v>6.03</v>
      </c>
      <c r="BG21" t="s">
        <v>224</v>
      </c>
      <c r="BH21">
        <v>1.1599999999999999</v>
      </c>
      <c r="BI21">
        <v>0.6</v>
      </c>
      <c r="BJ21">
        <v>0.74</v>
      </c>
      <c r="BK21">
        <v>1.08</v>
      </c>
      <c r="BL21">
        <v>2</v>
      </c>
      <c r="BM21">
        <v>2</v>
      </c>
      <c r="BN21">
        <v>4</v>
      </c>
      <c r="BO21">
        <v>3</v>
      </c>
      <c r="BP21">
        <v>2</v>
      </c>
      <c r="BQ21">
        <v>2</v>
      </c>
      <c r="BR21">
        <v>3</v>
      </c>
      <c r="BS21">
        <v>2</v>
      </c>
      <c r="BT21">
        <v>2</v>
      </c>
      <c r="BU21">
        <v>4</v>
      </c>
      <c r="BV21">
        <v>4</v>
      </c>
      <c r="BW21">
        <v>4</v>
      </c>
      <c r="BX21">
        <v>3</v>
      </c>
      <c r="BY21">
        <v>2</v>
      </c>
      <c r="BZ21">
        <v>2</v>
      </c>
      <c r="CA21">
        <v>4</v>
      </c>
      <c r="CB21">
        <v>4</v>
      </c>
      <c r="CC21">
        <v>4</v>
      </c>
      <c r="CD21">
        <v>2</v>
      </c>
      <c r="CE21">
        <v>1</v>
      </c>
      <c r="CF21">
        <v>4</v>
      </c>
      <c r="CG21">
        <v>1</v>
      </c>
      <c r="CH21">
        <v>2</v>
      </c>
      <c r="CI21">
        <v>3</v>
      </c>
      <c r="CJ21">
        <v>3</v>
      </c>
      <c r="CK21">
        <v>5</v>
      </c>
      <c r="CL21">
        <v>3</v>
      </c>
      <c r="CM21">
        <v>1</v>
      </c>
      <c r="CN21" t="s">
        <v>223</v>
      </c>
      <c r="CO21">
        <v>2</v>
      </c>
      <c r="CP21">
        <v>4</v>
      </c>
      <c r="CQ21">
        <v>4</v>
      </c>
      <c r="CR21">
        <v>1</v>
      </c>
      <c r="CS21">
        <v>2</v>
      </c>
      <c r="CT21">
        <v>4</v>
      </c>
      <c r="CU21">
        <v>3</v>
      </c>
      <c r="CV21">
        <v>2</v>
      </c>
      <c r="CW21">
        <v>3</v>
      </c>
      <c r="CX21" t="s">
        <v>260</v>
      </c>
      <c r="CY21">
        <v>4</v>
      </c>
      <c r="CZ21">
        <v>1</v>
      </c>
      <c r="DA21">
        <v>3</v>
      </c>
      <c r="DB21">
        <v>2</v>
      </c>
      <c r="DC21">
        <v>3</v>
      </c>
      <c r="DD21">
        <v>3</v>
      </c>
      <c r="DE21">
        <v>5</v>
      </c>
      <c r="DF21">
        <v>3</v>
      </c>
      <c r="DG21">
        <v>5</v>
      </c>
      <c r="DH21" t="s">
        <v>223</v>
      </c>
      <c r="DI21" t="s">
        <v>223</v>
      </c>
      <c r="DJ21"/>
      <c r="DK21"/>
      <c r="DL21"/>
      <c r="DM21"/>
      <c r="DN21"/>
      <c r="DO21"/>
      <c r="DP21"/>
      <c r="DQ21"/>
      <c r="DR21"/>
      <c r="DS21"/>
    </row>
    <row r="22" spans="1:123" s="30" customFormat="1" ht="12" customHeight="1">
      <c r="A22" s="25">
        <v>43665.554652777777</v>
      </c>
      <c r="B22" s="28" t="s">
        <v>42</v>
      </c>
      <c r="C22" s="26">
        <f t="shared" si="1"/>
        <v>21</v>
      </c>
      <c r="D22" s="73" t="s">
        <v>139</v>
      </c>
      <c r="E22" s="27" t="s">
        <v>19</v>
      </c>
      <c r="F22" s="26">
        <v>10</v>
      </c>
      <c r="G22" s="28">
        <v>23</v>
      </c>
      <c r="H22" s="28">
        <v>50.8</v>
      </c>
      <c r="I22" s="28">
        <v>561</v>
      </c>
      <c r="J22" s="28">
        <v>0.8</v>
      </c>
      <c r="K22" s="28">
        <v>80</v>
      </c>
      <c r="L22" s="43">
        <v>0.53</v>
      </c>
      <c r="M22" s="74">
        <v>22.7621</v>
      </c>
      <c r="N22" s="28">
        <v>0.06</v>
      </c>
      <c r="O22" s="28">
        <v>43.3</v>
      </c>
      <c r="P22" s="43">
        <v>1.26</v>
      </c>
      <c r="Q22" s="29"/>
      <c r="R22" s="43">
        <v>637</v>
      </c>
      <c r="S22" s="43">
        <v>570</v>
      </c>
      <c r="T22" s="43">
        <v>323</v>
      </c>
      <c r="U22" s="29"/>
      <c r="V22" s="29">
        <f t="shared" si="2"/>
        <v>603.5</v>
      </c>
      <c r="W22" s="31"/>
      <c r="X22" s="43">
        <v>5.2</v>
      </c>
      <c r="Y22" s="43">
        <v>0</v>
      </c>
      <c r="Z22" s="43">
        <v>11.8</v>
      </c>
      <c r="AA22" s="43">
        <v>11.8</v>
      </c>
      <c r="AB22" s="43">
        <v>17</v>
      </c>
      <c r="AC22" s="43"/>
      <c r="AD22" s="43">
        <v>5</v>
      </c>
      <c r="AE22" s="29"/>
      <c r="AF22" s="89" t="s">
        <v>225</v>
      </c>
      <c r="AG22" t="s">
        <v>211</v>
      </c>
      <c r="AH22" t="s">
        <v>211</v>
      </c>
      <c r="AI22" t="s">
        <v>212</v>
      </c>
      <c r="AJ22" t="s">
        <v>259</v>
      </c>
      <c r="AK22">
        <v>0.53</v>
      </c>
      <c r="AL22" t="s">
        <v>226</v>
      </c>
      <c r="AM22" t="s">
        <v>255</v>
      </c>
      <c r="AN22" t="s">
        <v>215</v>
      </c>
      <c r="AO22" t="s">
        <v>234</v>
      </c>
      <c r="AP22" t="s">
        <v>217</v>
      </c>
      <c r="AQ22" t="s">
        <v>227</v>
      </c>
      <c r="AR22" t="s">
        <v>219</v>
      </c>
      <c r="AS22" t="s">
        <v>252</v>
      </c>
      <c r="AT22" t="s">
        <v>227</v>
      </c>
      <c r="AU22" t="s">
        <v>212</v>
      </c>
      <c r="AV22">
        <v>637</v>
      </c>
      <c r="AW22">
        <v>570</v>
      </c>
      <c r="AX22">
        <v>323</v>
      </c>
      <c r="AY22">
        <f t="shared" si="0"/>
        <v>510</v>
      </c>
      <c r="AZ22" t="s">
        <v>211</v>
      </c>
      <c r="BA22">
        <v>3.7</v>
      </c>
      <c r="BB22">
        <v>0</v>
      </c>
      <c r="BC22" t="s">
        <v>211</v>
      </c>
      <c r="BD22">
        <v>2.9</v>
      </c>
      <c r="BE22" t="s">
        <v>229</v>
      </c>
      <c r="BF22">
        <v>7.2</v>
      </c>
      <c r="BG22" t="s">
        <v>230</v>
      </c>
      <c r="BH22">
        <v>2.7</v>
      </c>
      <c r="BI22">
        <v>0.61</v>
      </c>
      <c r="BJ22">
        <v>0.74</v>
      </c>
      <c r="BK22">
        <v>1.26</v>
      </c>
      <c r="BL22">
        <v>2</v>
      </c>
      <c r="BM22">
        <v>4</v>
      </c>
      <c r="BN22">
        <v>4</v>
      </c>
      <c r="BO22">
        <v>3</v>
      </c>
      <c r="BP22">
        <v>3</v>
      </c>
      <c r="BQ22">
        <v>6</v>
      </c>
      <c r="BR22">
        <v>5</v>
      </c>
      <c r="BS22">
        <v>2</v>
      </c>
      <c r="BT22">
        <v>2</v>
      </c>
      <c r="BU22">
        <v>3</v>
      </c>
      <c r="BV22">
        <v>3</v>
      </c>
      <c r="BW22">
        <v>2</v>
      </c>
      <c r="BX22">
        <v>2</v>
      </c>
      <c r="BY22">
        <v>3</v>
      </c>
      <c r="BZ22">
        <v>1</v>
      </c>
      <c r="CA22">
        <v>3</v>
      </c>
      <c r="CB22">
        <v>1</v>
      </c>
      <c r="CC22">
        <v>4</v>
      </c>
      <c r="CD22">
        <v>2</v>
      </c>
      <c r="CE22">
        <v>1</v>
      </c>
      <c r="CF22">
        <v>3</v>
      </c>
      <c r="CG22">
        <v>1</v>
      </c>
      <c r="CH22">
        <v>2</v>
      </c>
      <c r="CI22">
        <v>6</v>
      </c>
      <c r="CJ22">
        <v>4</v>
      </c>
      <c r="CK22">
        <v>6</v>
      </c>
      <c r="CL22">
        <v>1</v>
      </c>
      <c r="CM22">
        <v>1</v>
      </c>
      <c r="CN22" t="s">
        <v>223</v>
      </c>
      <c r="CO22">
        <v>1</v>
      </c>
      <c r="CP22">
        <v>6</v>
      </c>
      <c r="CQ22">
        <v>6</v>
      </c>
      <c r="CR22">
        <v>1</v>
      </c>
      <c r="CS22">
        <v>2</v>
      </c>
      <c r="CT22">
        <v>6</v>
      </c>
      <c r="CU22">
        <v>6</v>
      </c>
      <c r="CV22">
        <v>2</v>
      </c>
      <c r="CW22">
        <v>1</v>
      </c>
      <c r="CX22" t="s">
        <v>235</v>
      </c>
      <c r="CY22">
        <v>5</v>
      </c>
      <c r="CZ22">
        <v>1</v>
      </c>
      <c r="DA22">
        <v>1</v>
      </c>
      <c r="DB22">
        <v>1</v>
      </c>
      <c r="DC22">
        <v>1</v>
      </c>
      <c r="DD22">
        <v>3</v>
      </c>
      <c r="DE22">
        <v>4</v>
      </c>
      <c r="DF22">
        <v>1</v>
      </c>
      <c r="DG22">
        <v>4</v>
      </c>
      <c r="DH22" t="s">
        <v>261</v>
      </c>
      <c r="DI22" t="s">
        <v>223</v>
      </c>
      <c r="DJ22"/>
      <c r="DK22"/>
      <c r="DL22"/>
      <c r="DM22"/>
      <c r="DN22"/>
      <c r="DO22"/>
      <c r="DP22"/>
      <c r="DQ22"/>
      <c r="DR22"/>
      <c r="DS22"/>
    </row>
    <row r="23" spans="1:123" s="30" customFormat="1" ht="12" customHeight="1">
      <c r="A23" s="25">
        <v>43665.577893518515</v>
      </c>
      <c r="B23" s="28" t="s">
        <v>43</v>
      </c>
      <c r="C23" s="26">
        <f t="shared" si="1"/>
        <v>22</v>
      </c>
      <c r="D23" s="73" t="s">
        <v>139</v>
      </c>
      <c r="E23" s="27" t="s">
        <v>19</v>
      </c>
      <c r="F23" s="26">
        <v>10</v>
      </c>
      <c r="G23" s="28">
        <v>23.3</v>
      </c>
      <c r="H23" s="28">
        <v>49.9</v>
      </c>
      <c r="I23" s="28">
        <v>618</v>
      </c>
      <c r="J23" s="28">
        <v>0.8</v>
      </c>
      <c r="K23" s="28">
        <v>77</v>
      </c>
      <c r="L23" s="43">
        <v>0.74</v>
      </c>
      <c r="M23" s="74">
        <v>22.936900000000001</v>
      </c>
      <c r="N23" s="28">
        <v>0.01</v>
      </c>
      <c r="O23" s="28">
        <v>44.4</v>
      </c>
      <c r="P23" s="43">
        <v>0</v>
      </c>
      <c r="Q23" s="29"/>
      <c r="R23" s="43">
        <v>357</v>
      </c>
      <c r="S23" s="43">
        <v>325</v>
      </c>
      <c r="T23" s="43">
        <v>285</v>
      </c>
      <c r="U23" s="29"/>
      <c r="V23" s="29">
        <f t="shared" si="2"/>
        <v>341</v>
      </c>
      <c r="W23" s="31"/>
      <c r="X23" s="43">
        <v>0.3</v>
      </c>
      <c r="Y23" s="43">
        <v>0.5</v>
      </c>
      <c r="Z23" s="43">
        <v>4.5</v>
      </c>
      <c r="AA23" s="43">
        <v>5</v>
      </c>
      <c r="AB23" s="43">
        <v>5.3</v>
      </c>
      <c r="AC23" s="43"/>
      <c r="AD23" s="43">
        <v>5</v>
      </c>
      <c r="AE23" s="29"/>
      <c r="AF23" s="89" t="s">
        <v>251</v>
      </c>
      <c r="AG23" t="s">
        <v>211</v>
      </c>
      <c r="AH23" t="s">
        <v>212</v>
      </c>
      <c r="AI23" t="s">
        <v>212</v>
      </c>
      <c r="AJ23" t="s">
        <v>212</v>
      </c>
      <c r="AK23">
        <v>0.74</v>
      </c>
      <c r="AL23" t="s">
        <v>226</v>
      </c>
      <c r="AM23" t="s">
        <v>219</v>
      </c>
      <c r="AN23" t="s">
        <v>215</v>
      </c>
      <c r="AO23" t="s">
        <v>216</v>
      </c>
      <c r="AP23" t="s">
        <v>217</v>
      </c>
      <c r="AQ23" t="s">
        <v>227</v>
      </c>
      <c r="AR23" t="s">
        <v>252</v>
      </c>
      <c r="AS23" t="s">
        <v>252</v>
      </c>
      <c r="AT23" t="s">
        <v>221</v>
      </c>
      <c r="AU23" t="s">
        <v>211</v>
      </c>
      <c r="AV23">
        <v>357</v>
      </c>
      <c r="AW23">
        <v>325</v>
      </c>
      <c r="AX23">
        <v>285</v>
      </c>
      <c r="AY23">
        <f t="shared" si="0"/>
        <v>322.33333333333331</v>
      </c>
      <c r="AZ23" t="s">
        <v>211</v>
      </c>
      <c r="BA23">
        <v>3.09</v>
      </c>
      <c r="BB23">
        <v>0</v>
      </c>
      <c r="BC23" t="s">
        <v>211</v>
      </c>
      <c r="BD23">
        <v>2.0499999999999998</v>
      </c>
      <c r="BE23" t="s">
        <v>16</v>
      </c>
      <c r="BF23" t="s">
        <v>221</v>
      </c>
      <c r="BG23" t="s">
        <v>221</v>
      </c>
      <c r="BH23">
        <v>2.2400000000000002</v>
      </c>
      <c r="BI23">
        <v>0.75</v>
      </c>
      <c r="BJ23">
        <v>0.83</v>
      </c>
      <c r="BK23" t="s">
        <v>221</v>
      </c>
      <c r="BL23">
        <v>2</v>
      </c>
      <c r="BM23">
        <v>1</v>
      </c>
      <c r="BN23">
        <v>2</v>
      </c>
      <c r="BO23">
        <v>2</v>
      </c>
      <c r="BP23">
        <v>2</v>
      </c>
      <c r="BQ23">
        <v>3</v>
      </c>
      <c r="BR23">
        <v>5</v>
      </c>
      <c r="BS23">
        <v>1</v>
      </c>
      <c r="BT23">
        <v>3</v>
      </c>
      <c r="BU23">
        <v>5</v>
      </c>
      <c r="BV23">
        <v>4</v>
      </c>
      <c r="BW23">
        <v>3</v>
      </c>
      <c r="BX23">
        <v>3</v>
      </c>
      <c r="BY23">
        <v>3</v>
      </c>
      <c r="BZ23">
        <v>1</v>
      </c>
      <c r="CA23">
        <v>6</v>
      </c>
      <c r="CB23">
        <v>7</v>
      </c>
      <c r="CC23">
        <v>6</v>
      </c>
      <c r="CD23">
        <v>2</v>
      </c>
      <c r="CE23">
        <v>1</v>
      </c>
      <c r="CF23">
        <v>6</v>
      </c>
      <c r="CG23">
        <v>1</v>
      </c>
      <c r="CH23">
        <v>1</v>
      </c>
      <c r="CI23">
        <v>3</v>
      </c>
      <c r="CJ23">
        <v>5</v>
      </c>
      <c r="CK23">
        <v>6</v>
      </c>
      <c r="CL23">
        <v>5</v>
      </c>
      <c r="CM23">
        <v>1</v>
      </c>
      <c r="CN23" t="s">
        <v>223</v>
      </c>
      <c r="CO23">
        <v>2</v>
      </c>
      <c r="CP23">
        <v>3</v>
      </c>
      <c r="CQ23">
        <v>3</v>
      </c>
      <c r="CR23">
        <v>2</v>
      </c>
      <c r="CS23">
        <v>3</v>
      </c>
      <c r="CT23">
        <v>3</v>
      </c>
      <c r="CU23">
        <v>2</v>
      </c>
      <c r="CV23">
        <v>3</v>
      </c>
      <c r="CW23">
        <v>2</v>
      </c>
      <c r="CX23" t="s">
        <v>235</v>
      </c>
      <c r="CY23">
        <v>6</v>
      </c>
      <c r="CZ23">
        <v>1</v>
      </c>
      <c r="DA23">
        <v>3</v>
      </c>
      <c r="DB23">
        <v>2</v>
      </c>
      <c r="DC23">
        <v>3</v>
      </c>
      <c r="DD23">
        <v>3</v>
      </c>
      <c r="DE23">
        <v>5</v>
      </c>
      <c r="DF23">
        <v>3</v>
      </c>
      <c r="DG23">
        <v>1</v>
      </c>
      <c r="DH23" t="s">
        <v>223</v>
      </c>
      <c r="DI23" t="s">
        <v>223</v>
      </c>
      <c r="DJ23"/>
      <c r="DK23"/>
      <c r="DL23"/>
      <c r="DM23"/>
      <c r="DN23"/>
      <c r="DO23"/>
      <c r="DP23"/>
      <c r="DQ23"/>
      <c r="DR23"/>
      <c r="DS23"/>
    </row>
    <row r="24" spans="1:123" s="30" customFormat="1" ht="12" customHeight="1">
      <c r="A24" s="25">
        <v>43665.590833333335</v>
      </c>
      <c r="B24" s="28" t="s">
        <v>44</v>
      </c>
      <c r="C24" s="26">
        <f t="shared" si="1"/>
        <v>23</v>
      </c>
      <c r="D24" s="73" t="s">
        <v>139</v>
      </c>
      <c r="E24" s="27" t="s">
        <v>19</v>
      </c>
      <c r="F24" s="26">
        <v>10</v>
      </c>
      <c r="G24" s="28">
        <v>22.6</v>
      </c>
      <c r="H24" s="28">
        <v>49.8</v>
      </c>
      <c r="I24" s="28">
        <v>511</v>
      </c>
      <c r="J24" s="28">
        <v>0.7</v>
      </c>
      <c r="K24" s="28">
        <v>71</v>
      </c>
      <c r="L24" s="43">
        <v>0.64</v>
      </c>
      <c r="M24" s="74">
        <v>23.0854</v>
      </c>
      <c r="N24" s="28">
        <v>0.05</v>
      </c>
      <c r="O24" s="28">
        <v>51.2</v>
      </c>
      <c r="P24" s="43">
        <v>1.25</v>
      </c>
      <c r="Q24" s="29"/>
      <c r="R24" s="43">
        <v>1050</v>
      </c>
      <c r="S24" s="43">
        <v>830</v>
      </c>
      <c r="T24" s="43">
        <v>835</v>
      </c>
      <c r="U24" s="29"/>
      <c r="V24" s="29">
        <f t="shared" si="2"/>
        <v>940</v>
      </c>
      <c r="W24" s="31"/>
      <c r="X24" s="43">
        <v>12.2</v>
      </c>
      <c r="Y24" s="43">
        <v>2.6</v>
      </c>
      <c r="Z24" s="43">
        <v>5</v>
      </c>
      <c r="AA24" s="43">
        <v>7.6</v>
      </c>
      <c r="AB24" s="43">
        <v>19.799999999999997</v>
      </c>
      <c r="AC24" s="43"/>
      <c r="AD24" s="43">
        <v>6</v>
      </c>
      <c r="AE24" s="29"/>
      <c r="AF24" s="89" t="s">
        <v>251</v>
      </c>
      <c r="AG24" t="s">
        <v>211</v>
      </c>
      <c r="AH24" t="s">
        <v>212</v>
      </c>
      <c r="AI24" t="s">
        <v>212</v>
      </c>
      <c r="AJ24" t="s">
        <v>259</v>
      </c>
      <c r="AK24">
        <v>0.64</v>
      </c>
      <c r="AL24" t="s">
        <v>226</v>
      </c>
      <c r="AM24" t="s">
        <v>219</v>
      </c>
      <c r="AN24" t="s">
        <v>215</v>
      </c>
      <c r="AO24" t="s">
        <v>216</v>
      </c>
      <c r="AP24" t="s">
        <v>217</v>
      </c>
      <c r="AQ24" t="s">
        <v>227</v>
      </c>
      <c r="AR24" t="s">
        <v>219</v>
      </c>
      <c r="AS24" t="s">
        <v>219</v>
      </c>
      <c r="AT24" t="s">
        <v>248</v>
      </c>
      <c r="AU24" t="s">
        <v>211</v>
      </c>
      <c r="AV24">
        <v>1050</v>
      </c>
      <c r="AW24">
        <v>830</v>
      </c>
      <c r="AX24">
        <v>835</v>
      </c>
      <c r="AY24">
        <f t="shared" si="0"/>
        <v>905</v>
      </c>
      <c r="AZ24" t="s">
        <v>211</v>
      </c>
      <c r="BA24">
        <v>2.7</v>
      </c>
      <c r="BB24" t="s">
        <v>221</v>
      </c>
      <c r="BC24" t="s">
        <v>212</v>
      </c>
      <c r="BD24">
        <v>0</v>
      </c>
      <c r="BE24" t="s">
        <v>229</v>
      </c>
      <c r="BF24" t="s">
        <v>221</v>
      </c>
      <c r="BG24" t="s">
        <v>221</v>
      </c>
      <c r="BH24">
        <v>1.52</v>
      </c>
      <c r="BI24">
        <v>0.75</v>
      </c>
      <c r="BJ24">
        <v>0.73</v>
      </c>
      <c r="BK24">
        <v>1.25</v>
      </c>
      <c r="BL24">
        <v>1</v>
      </c>
      <c r="BM24">
        <v>3</v>
      </c>
      <c r="BN24">
        <v>4</v>
      </c>
      <c r="BO24">
        <v>2</v>
      </c>
      <c r="BP24">
        <v>2</v>
      </c>
      <c r="BQ24">
        <v>4</v>
      </c>
      <c r="BR24">
        <v>6</v>
      </c>
      <c r="BS24">
        <v>2</v>
      </c>
      <c r="BT24">
        <v>1</v>
      </c>
      <c r="BU24">
        <v>6</v>
      </c>
      <c r="BV24">
        <v>5</v>
      </c>
      <c r="BW24">
        <v>7</v>
      </c>
      <c r="BX24">
        <v>4</v>
      </c>
      <c r="BY24">
        <v>3</v>
      </c>
      <c r="BZ24">
        <v>2</v>
      </c>
      <c r="CA24">
        <v>4</v>
      </c>
      <c r="CB24">
        <v>3</v>
      </c>
      <c r="CC24">
        <v>4</v>
      </c>
      <c r="CD24">
        <v>2</v>
      </c>
      <c r="CE24">
        <v>1</v>
      </c>
      <c r="CF24">
        <v>5</v>
      </c>
      <c r="CG24">
        <v>1</v>
      </c>
      <c r="CH24">
        <v>2</v>
      </c>
      <c r="CI24">
        <v>6</v>
      </c>
      <c r="CJ24">
        <v>5</v>
      </c>
      <c r="CK24">
        <v>4</v>
      </c>
      <c r="CL24">
        <v>5</v>
      </c>
      <c r="CM24">
        <v>1</v>
      </c>
      <c r="CN24" t="s">
        <v>223</v>
      </c>
      <c r="CO24">
        <v>1</v>
      </c>
      <c r="CP24">
        <v>6</v>
      </c>
      <c r="CQ24">
        <v>7</v>
      </c>
      <c r="CR24">
        <v>1</v>
      </c>
      <c r="CS24">
        <v>1</v>
      </c>
      <c r="CT24">
        <v>6</v>
      </c>
      <c r="CU24">
        <v>6</v>
      </c>
      <c r="CV24">
        <v>2</v>
      </c>
      <c r="CW24">
        <v>2</v>
      </c>
      <c r="CX24" t="s">
        <v>257</v>
      </c>
      <c r="CY24">
        <v>7</v>
      </c>
      <c r="CZ24">
        <v>1</v>
      </c>
      <c r="DA24">
        <v>3</v>
      </c>
      <c r="DB24">
        <v>3</v>
      </c>
      <c r="DC24">
        <v>7</v>
      </c>
      <c r="DD24">
        <v>3</v>
      </c>
      <c r="DE24">
        <v>6</v>
      </c>
      <c r="DF24">
        <v>6</v>
      </c>
      <c r="DG24">
        <v>6</v>
      </c>
      <c r="DH24" t="s">
        <v>262</v>
      </c>
      <c r="DI24" t="s">
        <v>223</v>
      </c>
      <c r="DJ24"/>
      <c r="DK24"/>
      <c r="DL24"/>
      <c r="DM24"/>
      <c r="DN24"/>
      <c r="DO24"/>
      <c r="DP24"/>
      <c r="DQ24"/>
      <c r="DR24"/>
      <c r="DS24"/>
    </row>
    <row r="25" spans="1:123" s="30" customFormat="1" ht="12" customHeight="1">
      <c r="A25" s="25">
        <v>43665.604074074072</v>
      </c>
      <c r="B25" s="28" t="s">
        <v>45</v>
      </c>
      <c r="C25" s="26">
        <f t="shared" si="1"/>
        <v>24</v>
      </c>
      <c r="D25" s="73" t="s">
        <v>139</v>
      </c>
      <c r="E25" s="27" t="s">
        <v>19</v>
      </c>
      <c r="F25" s="26">
        <v>10</v>
      </c>
      <c r="G25" s="28">
        <v>24.8</v>
      </c>
      <c r="H25" s="28">
        <v>45.3</v>
      </c>
      <c r="I25" s="28">
        <v>601</v>
      </c>
      <c r="J25" s="28">
        <v>0.8</v>
      </c>
      <c r="K25" s="28">
        <v>75</v>
      </c>
      <c r="L25" s="43">
        <v>0.42000000000000004</v>
      </c>
      <c r="M25" s="74">
        <v>26.062100000000001</v>
      </c>
      <c r="N25" s="28">
        <v>0.04</v>
      </c>
      <c r="O25" s="28">
        <v>48.1</v>
      </c>
      <c r="P25" s="43">
        <v>0</v>
      </c>
      <c r="Q25" s="29"/>
      <c r="R25" s="43">
        <v>667</v>
      </c>
      <c r="S25" s="43">
        <v>930</v>
      </c>
      <c r="T25" s="43">
        <v>818</v>
      </c>
      <c r="U25" s="29"/>
      <c r="V25" s="29">
        <f t="shared" si="2"/>
        <v>798.5</v>
      </c>
      <c r="W25" s="31"/>
      <c r="X25" s="43">
        <v>8.5</v>
      </c>
      <c r="Y25" s="43">
        <v>0.2</v>
      </c>
      <c r="Z25" s="43">
        <v>15.8</v>
      </c>
      <c r="AA25" s="43">
        <v>16</v>
      </c>
      <c r="AB25" s="43">
        <v>24.5</v>
      </c>
      <c r="AC25" s="43"/>
      <c r="AD25" s="43">
        <v>5</v>
      </c>
      <c r="AE25" s="29"/>
      <c r="AF25" s="89" t="s">
        <v>251</v>
      </c>
      <c r="AG25" t="s">
        <v>211</v>
      </c>
      <c r="AH25" t="s">
        <v>212</v>
      </c>
      <c r="AI25" t="s">
        <v>212</v>
      </c>
      <c r="AJ25" t="s">
        <v>259</v>
      </c>
      <c r="AK25">
        <v>0.42000000000000004</v>
      </c>
      <c r="AL25" t="s">
        <v>226</v>
      </c>
      <c r="AM25" t="s">
        <v>219</v>
      </c>
      <c r="AN25" t="s">
        <v>215</v>
      </c>
      <c r="AO25" t="s">
        <v>216</v>
      </c>
      <c r="AP25" t="s">
        <v>217</v>
      </c>
      <c r="AQ25" t="s">
        <v>227</v>
      </c>
      <c r="AR25" t="s">
        <v>219</v>
      </c>
      <c r="AS25" t="s">
        <v>263</v>
      </c>
      <c r="AT25" t="s">
        <v>221</v>
      </c>
      <c r="AU25" t="s">
        <v>212</v>
      </c>
      <c r="AV25">
        <v>667</v>
      </c>
      <c r="AW25">
        <v>930</v>
      </c>
      <c r="AX25">
        <v>818</v>
      </c>
      <c r="AY25">
        <f t="shared" si="0"/>
        <v>805</v>
      </c>
      <c r="AZ25" t="s">
        <v>212</v>
      </c>
      <c r="BA25">
        <v>3.6</v>
      </c>
      <c r="BB25" t="s">
        <v>221</v>
      </c>
      <c r="BC25" t="s">
        <v>211</v>
      </c>
      <c r="BD25">
        <v>0</v>
      </c>
      <c r="BE25" t="s">
        <v>224</v>
      </c>
      <c r="BF25">
        <v>5.9</v>
      </c>
      <c r="BG25" t="s">
        <v>221</v>
      </c>
      <c r="BH25">
        <v>1.52</v>
      </c>
      <c r="BI25">
        <v>0.75</v>
      </c>
      <c r="BJ25">
        <v>0.75</v>
      </c>
      <c r="BK25" t="s">
        <v>221</v>
      </c>
      <c r="BL25">
        <v>1</v>
      </c>
      <c r="BM25">
        <v>4</v>
      </c>
      <c r="BN25">
        <v>4</v>
      </c>
      <c r="BO25">
        <v>3</v>
      </c>
      <c r="BP25">
        <v>2</v>
      </c>
      <c r="BQ25">
        <v>4</v>
      </c>
      <c r="BR25">
        <v>5</v>
      </c>
      <c r="BS25">
        <v>2</v>
      </c>
      <c r="BT25">
        <v>1</v>
      </c>
      <c r="BU25">
        <v>6</v>
      </c>
      <c r="BV25">
        <v>6</v>
      </c>
      <c r="BW25">
        <v>6</v>
      </c>
      <c r="BX25">
        <v>4</v>
      </c>
      <c r="BY25">
        <v>2</v>
      </c>
      <c r="BZ25">
        <v>2</v>
      </c>
      <c r="CA25">
        <v>6</v>
      </c>
      <c r="CB25">
        <v>3</v>
      </c>
      <c r="CC25">
        <v>6</v>
      </c>
      <c r="CD25">
        <v>2</v>
      </c>
      <c r="CE25">
        <v>2</v>
      </c>
      <c r="CF25">
        <v>6</v>
      </c>
      <c r="CG25">
        <v>1</v>
      </c>
      <c r="CH25">
        <v>2</v>
      </c>
      <c r="CI25">
        <v>6</v>
      </c>
      <c r="CJ25">
        <v>6</v>
      </c>
      <c r="CK25">
        <v>4</v>
      </c>
      <c r="CL25">
        <v>6</v>
      </c>
      <c r="CM25">
        <v>5</v>
      </c>
      <c r="CN25" t="s">
        <v>223</v>
      </c>
      <c r="CO25">
        <v>1</v>
      </c>
      <c r="CP25">
        <v>6</v>
      </c>
      <c r="CQ25">
        <v>6</v>
      </c>
      <c r="CR25">
        <v>1</v>
      </c>
      <c r="CS25">
        <v>1</v>
      </c>
      <c r="CT25">
        <v>6</v>
      </c>
      <c r="CU25">
        <v>6</v>
      </c>
      <c r="CV25">
        <v>2</v>
      </c>
      <c r="CW25">
        <v>1</v>
      </c>
      <c r="CX25" t="s">
        <v>15</v>
      </c>
      <c r="CY25">
        <v>6</v>
      </c>
      <c r="CZ25">
        <v>1</v>
      </c>
      <c r="DA25">
        <v>3</v>
      </c>
      <c r="DB25">
        <v>1</v>
      </c>
      <c r="DC25">
        <v>6</v>
      </c>
      <c r="DD25">
        <v>2</v>
      </c>
      <c r="DE25">
        <v>6</v>
      </c>
      <c r="DF25">
        <v>6</v>
      </c>
      <c r="DG25">
        <v>2</v>
      </c>
      <c r="DH25" t="s">
        <v>223</v>
      </c>
      <c r="DI25" t="s">
        <v>223</v>
      </c>
      <c r="DJ25"/>
      <c r="DK25"/>
      <c r="DL25"/>
      <c r="DM25"/>
      <c r="DN25"/>
      <c r="DO25"/>
      <c r="DP25"/>
      <c r="DQ25"/>
      <c r="DR25"/>
      <c r="DS25"/>
    </row>
    <row r="26" spans="1:123" s="30" customFormat="1" ht="12" customHeight="1">
      <c r="A26" s="25">
        <v>43665.617719907408</v>
      </c>
      <c r="B26" s="28" t="s">
        <v>46</v>
      </c>
      <c r="C26" s="26">
        <f t="shared" si="1"/>
        <v>25</v>
      </c>
      <c r="D26" s="73" t="s">
        <v>139</v>
      </c>
      <c r="E26" s="27" t="s">
        <v>19</v>
      </c>
      <c r="F26" s="26">
        <v>10</v>
      </c>
      <c r="G26" s="28">
        <v>24</v>
      </c>
      <c r="H26" s="28">
        <v>47.1</v>
      </c>
      <c r="I26" s="28">
        <v>596</v>
      </c>
      <c r="J26" s="28">
        <v>0.8</v>
      </c>
      <c r="K26" s="28">
        <v>75</v>
      </c>
      <c r="L26" s="43">
        <v>0.39</v>
      </c>
      <c r="M26" s="74">
        <v>24.244199999999999</v>
      </c>
      <c r="N26" s="28">
        <v>0.01</v>
      </c>
      <c r="O26" s="28">
        <v>46.2</v>
      </c>
      <c r="P26" s="43">
        <v>0</v>
      </c>
      <c r="Q26" s="29"/>
      <c r="R26" s="43">
        <v>880</v>
      </c>
      <c r="S26" s="43">
        <v>610</v>
      </c>
      <c r="T26" s="43">
        <v>330</v>
      </c>
      <c r="U26" s="29"/>
      <c r="V26" s="29">
        <f t="shared" si="2"/>
        <v>745</v>
      </c>
      <c r="W26" s="31"/>
      <c r="X26" s="43">
        <v>6.2</v>
      </c>
      <c r="Y26" s="43">
        <v>0</v>
      </c>
      <c r="Z26" s="43">
        <v>11.2</v>
      </c>
      <c r="AA26" s="43">
        <v>11.2</v>
      </c>
      <c r="AB26" s="43">
        <v>17.399999999999999</v>
      </c>
      <c r="AC26" s="43"/>
      <c r="AD26" s="43">
        <v>1</v>
      </c>
      <c r="AE26" s="29"/>
      <c r="AF26" s="89" t="s">
        <v>210</v>
      </c>
      <c r="AG26" t="s">
        <v>211</v>
      </c>
      <c r="AH26" t="s">
        <v>212</v>
      </c>
      <c r="AI26" t="s">
        <v>212</v>
      </c>
      <c r="AJ26" t="s">
        <v>259</v>
      </c>
      <c r="AK26">
        <v>0.39</v>
      </c>
      <c r="AL26" t="s">
        <v>228</v>
      </c>
      <c r="AM26" t="s">
        <v>264</v>
      </c>
      <c r="AN26" t="s">
        <v>215</v>
      </c>
      <c r="AO26" t="s">
        <v>216</v>
      </c>
      <c r="AP26" t="s">
        <v>217</v>
      </c>
      <c r="AQ26" t="s">
        <v>227</v>
      </c>
      <c r="AR26" t="s">
        <v>252</v>
      </c>
      <c r="AS26" t="s">
        <v>252</v>
      </c>
      <c r="AT26" t="s">
        <v>221</v>
      </c>
      <c r="AU26" t="s">
        <v>212</v>
      </c>
      <c r="AV26">
        <v>880</v>
      </c>
      <c r="AW26">
        <v>610</v>
      </c>
      <c r="AX26">
        <v>330</v>
      </c>
      <c r="AY26">
        <f t="shared" si="0"/>
        <v>606.66666666666663</v>
      </c>
      <c r="AZ26" t="s">
        <v>211</v>
      </c>
      <c r="BA26">
        <v>3.7</v>
      </c>
      <c r="BB26" t="s">
        <v>221</v>
      </c>
      <c r="BC26" t="s">
        <v>212</v>
      </c>
      <c r="BD26">
        <v>0</v>
      </c>
      <c r="BE26" t="s">
        <v>229</v>
      </c>
      <c r="BF26" t="s">
        <v>221</v>
      </c>
      <c r="BG26" t="s">
        <v>221</v>
      </c>
      <c r="BH26">
        <v>1.52</v>
      </c>
      <c r="BI26">
        <v>0.76</v>
      </c>
      <c r="BJ26">
        <v>0.86</v>
      </c>
      <c r="BK26" t="s">
        <v>221</v>
      </c>
      <c r="BL26">
        <v>1</v>
      </c>
      <c r="BM26">
        <v>3</v>
      </c>
      <c r="BN26">
        <v>4</v>
      </c>
      <c r="BO26">
        <v>2</v>
      </c>
      <c r="BP26">
        <v>2</v>
      </c>
      <c r="BQ26">
        <v>7</v>
      </c>
      <c r="BR26">
        <v>1</v>
      </c>
      <c r="BS26">
        <v>3</v>
      </c>
      <c r="BT26">
        <v>3</v>
      </c>
      <c r="BU26">
        <v>3</v>
      </c>
      <c r="BV26">
        <v>1</v>
      </c>
      <c r="BW26">
        <v>7</v>
      </c>
      <c r="BX26">
        <v>1</v>
      </c>
      <c r="BY26">
        <v>3</v>
      </c>
      <c r="BZ26">
        <v>2</v>
      </c>
      <c r="CA26">
        <v>6</v>
      </c>
      <c r="CB26">
        <v>6</v>
      </c>
      <c r="CC26">
        <v>6</v>
      </c>
      <c r="CD26">
        <v>2</v>
      </c>
      <c r="CE26">
        <v>1</v>
      </c>
      <c r="CF26">
        <v>6</v>
      </c>
      <c r="CG26">
        <v>2</v>
      </c>
      <c r="CH26">
        <v>1</v>
      </c>
      <c r="CI26">
        <v>5</v>
      </c>
      <c r="CJ26">
        <v>6</v>
      </c>
      <c r="CK26">
        <v>6</v>
      </c>
      <c r="CL26">
        <v>6</v>
      </c>
      <c r="CM26">
        <v>3</v>
      </c>
      <c r="CN26" t="s">
        <v>223</v>
      </c>
      <c r="CO26">
        <v>1</v>
      </c>
      <c r="CP26">
        <v>7</v>
      </c>
      <c r="CQ26">
        <v>7</v>
      </c>
      <c r="CR26">
        <v>1</v>
      </c>
      <c r="CS26">
        <v>1</v>
      </c>
      <c r="CT26">
        <v>7</v>
      </c>
      <c r="CU26">
        <v>4</v>
      </c>
      <c r="CV26">
        <v>3</v>
      </c>
      <c r="CW26">
        <v>2</v>
      </c>
      <c r="CX26" t="s">
        <v>237</v>
      </c>
      <c r="CY26">
        <v>7</v>
      </c>
      <c r="CZ26">
        <v>1</v>
      </c>
      <c r="DA26">
        <v>3</v>
      </c>
      <c r="DB26">
        <v>1</v>
      </c>
      <c r="DC26">
        <v>5</v>
      </c>
      <c r="DD26">
        <v>4</v>
      </c>
      <c r="DE26">
        <v>4</v>
      </c>
      <c r="DF26">
        <v>2</v>
      </c>
      <c r="DG26">
        <v>5</v>
      </c>
      <c r="DH26" t="s">
        <v>223</v>
      </c>
      <c r="DI26" t="s">
        <v>223</v>
      </c>
      <c r="DJ26"/>
      <c r="DK26"/>
      <c r="DL26"/>
      <c r="DM26"/>
      <c r="DN26"/>
      <c r="DO26"/>
      <c r="DP26"/>
      <c r="DQ26"/>
      <c r="DR26"/>
      <c r="DS26"/>
    </row>
    <row r="27" spans="1:123" s="35" customFormat="1" ht="14">
      <c r="A27" s="33">
        <v>43663.432534722226</v>
      </c>
      <c r="B27" s="45" t="s">
        <v>47</v>
      </c>
      <c r="C27" s="26">
        <f t="shared" si="1"/>
        <v>26</v>
      </c>
      <c r="D27" s="73" t="s">
        <v>139</v>
      </c>
      <c r="E27" s="27" t="s">
        <v>19</v>
      </c>
      <c r="F27" s="26">
        <v>10</v>
      </c>
      <c r="G27" s="34">
        <v>21.3</v>
      </c>
      <c r="H27" s="34">
        <v>65.599999999999994</v>
      </c>
      <c r="I27" s="34">
        <v>627</v>
      </c>
      <c r="J27" s="34">
        <v>0.9</v>
      </c>
      <c r="K27" s="34">
        <v>63</v>
      </c>
      <c r="L27" s="44">
        <v>0.64</v>
      </c>
      <c r="M27" s="75">
        <v>21.291499999999999</v>
      </c>
      <c r="N27" s="34">
        <v>0.01</v>
      </c>
      <c r="O27" s="34">
        <v>55.1</v>
      </c>
      <c r="P27" s="44">
        <v>1.26</v>
      </c>
      <c r="Q27" s="31"/>
      <c r="R27" s="44"/>
      <c r="S27" s="44">
        <v>261</v>
      </c>
      <c r="T27" s="44">
        <v>178</v>
      </c>
      <c r="U27" s="31"/>
      <c r="V27" s="29">
        <f t="shared" si="2"/>
        <v>261</v>
      </c>
      <c r="W27" s="31"/>
      <c r="X27" s="44"/>
      <c r="Y27" s="44"/>
      <c r="Z27" s="44"/>
      <c r="AA27" s="44">
        <v>0</v>
      </c>
      <c r="AB27" s="44"/>
      <c r="AC27" s="44"/>
      <c r="AD27" s="44">
        <v>6</v>
      </c>
      <c r="AE27" s="31"/>
      <c r="AF27" s="90" t="s">
        <v>225</v>
      </c>
      <c r="AG27" s="91" t="s">
        <v>212</v>
      </c>
      <c r="AH27" s="91" t="s">
        <v>212</v>
      </c>
      <c r="AI27" s="91" t="s">
        <v>212</v>
      </c>
      <c r="AJ27" s="91" t="s">
        <v>212</v>
      </c>
      <c r="AK27" s="92">
        <v>0.64</v>
      </c>
      <c r="AL27" s="91"/>
      <c r="AM27" s="91" t="s">
        <v>226</v>
      </c>
      <c r="AN27" s="91" t="s">
        <v>219</v>
      </c>
      <c r="AO27" s="91" t="s">
        <v>215</v>
      </c>
      <c r="AP27" s="91" t="s">
        <v>216</v>
      </c>
      <c r="AQ27" s="91" t="s">
        <v>217</v>
      </c>
      <c r="AR27" s="91" t="s">
        <v>227</v>
      </c>
      <c r="AS27" s="91" t="s">
        <v>219</v>
      </c>
      <c r="AT27" s="91" t="s">
        <v>228</v>
      </c>
      <c r="AU27" s="91" t="s">
        <v>227</v>
      </c>
      <c r="AV27" s="91" t="s">
        <v>211</v>
      </c>
      <c r="AW27" s="92">
        <v>261</v>
      </c>
      <c r="AX27" s="92">
        <v>178</v>
      </c>
      <c r="AY27" s="92">
        <v>141.1</v>
      </c>
      <c r="AZ27" s="91" t="s">
        <v>211</v>
      </c>
      <c r="BA27" s="92">
        <v>3.6</v>
      </c>
      <c r="BB27" s="92">
        <v>0.3</v>
      </c>
      <c r="BC27" s="91" t="s">
        <v>211</v>
      </c>
      <c r="BD27" s="92">
        <v>0.4</v>
      </c>
      <c r="BE27" s="91" t="s">
        <v>229</v>
      </c>
      <c r="BF27" s="92">
        <v>8.08</v>
      </c>
      <c r="BG27" s="91" t="s">
        <v>230</v>
      </c>
      <c r="BH27" s="92">
        <v>1.52</v>
      </c>
      <c r="BI27" s="92">
        <v>0.61</v>
      </c>
      <c r="BJ27" s="92">
        <v>0.84</v>
      </c>
      <c r="BK27" s="92">
        <v>1.26</v>
      </c>
      <c r="BL27" s="92">
        <v>2</v>
      </c>
      <c r="BM27" s="92">
        <v>1</v>
      </c>
      <c r="BN27" s="92">
        <v>1</v>
      </c>
      <c r="BO27" s="92">
        <v>3</v>
      </c>
      <c r="BP27" s="92">
        <v>2</v>
      </c>
      <c r="BQ27" s="92">
        <v>3</v>
      </c>
      <c r="BR27" s="92">
        <v>6</v>
      </c>
      <c r="BS27" s="92">
        <v>2</v>
      </c>
      <c r="BT27" s="92">
        <v>1</v>
      </c>
      <c r="BU27" s="94"/>
      <c r="BV27" s="92">
        <v>7</v>
      </c>
      <c r="BW27" s="94"/>
      <c r="BX27" s="92">
        <v>4</v>
      </c>
      <c r="BY27" s="92">
        <v>2</v>
      </c>
      <c r="BZ27" s="94"/>
      <c r="CA27" s="92">
        <v>7</v>
      </c>
      <c r="CB27" s="92">
        <v>7</v>
      </c>
      <c r="CC27" s="92">
        <v>6</v>
      </c>
      <c r="CD27" s="92">
        <v>2</v>
      </c>
      <c r="CE27" s="92">
        <v>1</v>
      </c>
      <c r="CF27" s="92">
        <v>7</v>
      </c>
      <c r="CG27" s="92">
        <v>2</v>
      </c>
      <c r="CH27" s="92">
        <v>1</v>
      </c>
      <c r="CI27" s="92">
        <v>6</v>
      </c>
      <c r="CJ27" s="92">
        <v>3</v>
      </c>
      <c r="CK27" s="92">
        <v>7</v>
      </c>
      <c r="CL27" s="92">
        <v>4</v>
      </c>
      <c r="CM27" s="92">
        <v>1</v>
      </c>
      <c r="CN27" s="94"/>
      <c r="CO27" s="92">
        <v>2</v>
      </c>
      <c r="CP27" s="92">
        <v>7</v>
      </c>
      <c r="CQ27" s="92">
        <v>7</v>
      </c>
      <c r="CR27" s="92">
        <v>1</v>
      </c>
      <c r="CS27" s="92">
        <v>1</v>
      </c>
      <c r="CT27" s="92">
        <v>7</v>
      </c>
      <c r="CU27" s="92">
        <v>6</v>
      </c>
      <c r="CV27" s="92">
        <v>2</v>
      </c>
      <c r="CW27" s="92">
        <v>3</v>
      </c>
      <c r="CX27" s="91">
        <v>1</v>
      </c>
      <c r="CY27" s="92">
        <v>6</v>
      </c>
      <c r="CZ27" s="92">
        <v>1</v>
      </c>
      <c r="DA27" s="92">
        <v>3</v>
      </c>
      <c r="DB27" s="92">
        <v>3</v>
      </c>
      <c r="DC27" s="92">
        <v>6</v>
      </c>
      <c r="DD27" s="92">
        <v>3</v>
      </c>
      <c r="DE27" s="92">
        <v>6</v>
      </c>
      <c r="DF27" s="92">
        <v>5</v>
      </c>
      <c r="DG27" s="92">
        <v>2</v>
      </c>
      <c r="DH27" s="91" t="s">
        <v>349</v>
      </c>
      <c r="DI27" s="91"/>
      <c r="DJ27" s="91"/>
      <c r="DK27" s="91"/>
      <c r="DL27" s="91"/>
      <c r="DM27" s="91"/>
      <c r="DN27" s="91"/>
      <c r="DO27" s="91"/>
      <c r="DP27" s="91"/>
      <c r="DQ27" s="91"/>
      <c r="DR27" s="91"/>
      <c r="DS27" s="91"/>
    </row>
    <row r="28" spans="1:123" s="35" customFormat="1" ht="28">
      <c r="A28" s="33">
        <v>43663.445474537039</v>
      </c>
      <c r="B28" s="45" t="s">
        <v>48</v>
      </c>
      <c r="C28" s="26">
        <f t="shared" si="1"/>
        <v>27</v>
      </c>
      <c r="D28" s="73" t="s">
        <v>139</v>
      </c>
      <c r="E28" s="27" t="s">
        <v>19</v>
      </c>
      <c r="F28" s="26">
        <v>10</v>
      </c>
      <c r="G28" s="34">
        <v>21.7</v>
      </c>
      <c r="H28" s="34">
        <v>63.3</v>
      </c>
      <c r="I28" s="34">
        <v>574</v>
      </c>
      <c r="J28" s="34">
        <v>0.8</v>
      </c>
      <c r="K28" s="34">
        <v>57</v>
      </c>
      <c r="L28" s="44">
        <v>0.53</v>
      </c>
      <c r="M28" s="75">
        <v>21.7865</v>
      </c>
      <c r="N28" s="34">
        <v>0</v>
      </c>
      <c r="O28" s="34">
        <v>53.6</v>
      </c>
      <c r="P28" s="44">
        <v>0</v>
      </c>
      <c r="Q28" s="31"/>
      <c r="R28" s="44"/>
      <c r="S28" s="44">
        <v>158.30000000000001</v>
      </c>
      <c r="T28" s="44">
        <v>105.2</v>
      </c>
      <c r="U28" s="31"/>
      <c r="V28" s="29">
        <f t="shared" si="2"/>
        <v>158.30000000000001</v>
      </c>
      <c r="W28" s="31"/>
      <c r="X28" s="44"/>
      <c r="Y28" s="44"/>
      <c r="Z28" s="44"/>
      <c r="AA28" s="44">
        <v>0</v>
      </c>
      <c r="AB28" s="44"/>
      <c r="AC28" s="44"/>
      <c r="AD28" s="44">
        <v>6</v>
      </c>
      <c r="AE28" s="31"/>
      <c r="AF28" s="90" t="s">
        <v>350</v>
      </c>
      <c r="AG28" s="91" t="s">
        <v>212</v>
      </c>
      <c r="AH28" s="91" t="s">
        <v>212</v>
      </c>
      <c r="AI28" s="91" t="s">
        <v>212</v>
      </c>
      <c r="AJ28" s="91" t="s">
        <v>212</v>
      </c>
      <c r="AK28" s="92">
        <v>0.53</v>
      </c>
      <c r="AL28" s="91"/>
      <c r="AM28" s="91" t="s">
        <v>226</v>
      </c>
      <c r="AN28" s="91" t="s">
        <v>219</v>
      </c>
      <c r="AO28" s="91" t="s">
        <v>215</v>
      </c>
      <c r="AP28" s="91" t="s">
        <v>216</v>
      </c>
      <c r="AQ28" s="91" t="s">
        <v>217</v>
      </c>
      <c r="AR28" s="91" t="s">
        <v>227</v>
      </c>
      <c r="AS28" s="91" t="s">
        <v>219</v>
      </c>
      <c r="AT28" s="91" t="s">
        <v>228</v>
      </c>
      <c r="AU28" s="93" t="e">
        <v>#N/A</v>
      </c>
      <c r="AV28" s="91" t="s">
        <v>211</v>
      </c>
      <c r="AW28" s="92">
        <v>158.30000000000001</v>
      </c>
      <c r="AX28" s="92">
        <v>105.2</v>
      </c>
      <c r="AY28" s="92">
        <v>51.2</v>
      </c>
      <c r="AZ28" s="91" t="s">
        <v>211</v>
      </c>
      <c r="BA28" s="92">
        <v>3.6</v>
      </c>
      <c r="BB28" s="93" t="e">
        <v>#N/A</v>
      </c>
      <c r="BC28" s="91" t="s">
        <v>212</v>
      </c>
      <c r="BD28" s="92">
        <v>2.5</v>
      </c>
      <c r="BE28" s="91" t="s">
        <v>229</v>
      </c>
      <c r="BF28" s="93" t="e">
        <v>#N/A</v>
      </c>
      <c r="BG28" s="93" t="e">
        <v>#N/A</v>
      </c>
      <c r="BH28" s="92">
        <v>1.52</v>
      </c>
      <c r="BI28" s="92">
        <v>0.77</v>
      </c>
      <c r="BJ28" s="92">
        <v>0.74</v>
      </c>
      <c r="BK28" s="93" t="e">
        <v>#N/A</v>
      </c>
      <c r="BL28" s="92">
        <v>1</v>
      </c>
      <c r="BM28" s="92">
        <v>4</v>
      </c>
      <c r="BN28" s="92">
        <v>4</v>
      </c>
      <c r="BO28" s="92">
        <v>3</v>
      </c>
      <c r="BP28" s="92">
        <v>1</v>
      </c>
      <c r="BQ28" s="92">
        <v>2</v>
      </c>
      <c r="BR28" s="92">
        <v>6</v>
      </c>
      <c r="BS28" s="92">
        <v>2</v>
      </c>
      <c r="BT28" s="92">
        <v>1</v>
      </c>
      <c r="BU28" s="92">
        <v>6</v>
      </c>
      <c r="BV28" s="92">
        <v>6</v>
      </c>
      <c r="BW28" s="92">
        <v>6</v>
      </c>
      <c r="BX28" s="92">
        <v>4</v>
      </c>
      <c r="BY28" s="92">
        <v>2</v>
      </c>
      <c r="BZ28" s="92">
        <v>2</v>
      </c>
      <c r="CA28" s="92">
        <v>6</v>
      </c>
      <c r="CB28" s="92">
        <v>6</v>
      </c>
      <c r="CC28" s="92">
        <v>6</v>
      </c>
      <c r="CD28" s="92">
        <v>2</v>
      </c>
      <c r="CE28" s="92">
        <v>1</v>
      </c>
      <c r="CF28" s="92">
        <v>6</v>
      </c>
      <c r="CG28" s="92">
        <v>2</v>
      </c>
      <c r="CH28" s="92">
        <v>2</v>
      </c>
      <c r="CI28" s="92">
        <v>3</v>
      </c>
      <c r="CJ28" s="92">
        <v>6</v>
      </c>
      <c r="CK28" s="92">
        <v>4</v>
      </c>
      <c r="CL28" s="92">
        <v>6</v>
      </c>
      <c r="CM28" s="92">
        <v>1</v>
      </c>
      <c r="CN28" s="94"/>
      <c r="CO28" s="92">
        <v>1</v>
      </c>
      <c r="CP28" s="92">
        <v>7</v>
      </c>
      <c r="CQ28" s="92">
        <v>6</v>
      </c>
      <c r="CR28" s="92">
        <v>1</v>
      </c>
      <c r="CS28" s="92">
        <v>1</v>
      </c>
      <c r="CT28" s="92">
        <v>6</v>
      </c>
      <c r="CU28" s="92">
        <v>4</v>
      </c>
      <c r="CV28" s="92">
        <v>3</v>
      </c>
      <c r="CW28" s="92">
        <v>3</v>
      </c>
      <c r="CX28" s="91">
        <v>3</v>
      </c>
      <c r="CY28" s="92">
        <v>6</v>
      </c>
      <c r="CZ28" s="92">
        <v>1</v>
      </c>
      <c r="DA28" s="92">
        <v>3</v>
      </c>
      <c r="DB28" s="92">
        <v>2</v>
      </c>
      <c r="DC28" s="92">
        <v>4</v>
      </c>
      <c r="DD28" s="92">
        <v>3</v>
      </c>
      <c r="DE28" s="92">
        <v>4</v>
      </c>
      <c r="DF28" s="92">
        <v>6</v>
      </c>
      <c r="DG28" s="92">
        <v>1</v>
      </c>
      <c r="DH28" s="91"/>
      <c r="DI28" s="91"/>
      <c r="DJ28" s="91"/>
      <c r="DK28" s="91"/>
      <c r="DL28" s="91"/>
      <c r="DM28" s="91"/>
      <c r="DN28" s="91"/>
      <c r="DO28" s="91"/>
      <c r="DP28" s="91"/>
      <c r="DQ28" s="91"/>
      <c r="DR28" s="91"/>
      <c r="DS28" s="91"/>
    </row>
    <row r="29" spans="1:123" s="38" customFormat="1">
      <c r="A29" s="46">
        <v>43661.506689814814</v>
      </c>
      <c r="B29" s="48" t="s">
        <v>49</v>
      </c>
      <c r="C29" s="36">
        <f t="shared" si="1"/>
        <v>28</v>
      </c>
      <c r="D29" s="73" t="s">
        <v>139</v>
      </c>
      <c r="E29" s="48" t="s">
        <v>66</v>
      </c>
      <c r="F29" s="69">
        <v>11</v>
      </c>
      <c r="G29" s="48">
        <v>25.1</v>
      </c>
      <c r="H29" s="48">
        <v>55.8</v>
      </c>
      <c r="I29" s="48">
        <v>584</v>
      </c>
      <c r="J29" s="48">
        <v>0.9</v>
      </c>
      <c r="K29" s="48">
        <v>40</v>
      </c>
      <c r="L29" s="47">
        <v>0.59000000000000008</v>
      </c>
      <c r="M29" s="76">
        <v>25.749199999999998</v>
      </c>
      <c r="N29" s="48">
        <v>0.04</v>
      </c>
      <c r="O29" s="48">
        <v>44.6</v>
      </c>
      <c r="P29" s="47">
        <v>1.7</v>
      </c>
      <c r="Q29" s="37"/>
      <c r="R29" s="47">
        <v>441</v>
      </c>
      <c r="S29" s="47">
        <v>595</v>
      </c>
      <c r="T29" s="47">
        <v>478</v>
      </c>
      <c r="U29" s="37"/>
      <c r="V29" s="39">
        <f t="shared" si="2"/>
        <v>518</v>
      </c>
      <c r="W29" s="37"/>
      <c r="X29" s="47">
        <v>1.5</v>
      </c>
      <c r="Y29" s="47">
        <v>0</v>
      </c>
      <c r="Z29" s="47">
        <v>0</v>
      </c>
      <c r="AA29" s="47">
        <v>0</v>
      </c>
      <c r="AB29" s="47">
        <v>1.5</v>
      </c>
      <c r="AC29" s="47"/>
      <c r="AD29" s="47">
        <v>4</v>
      </c>
      <c r="AE29" s="37"/>
      <c r="AF29" s="89" t="s">
        <v>225</v>
      </c>
      <c r="AG29" t="s">
        <v>211</v>
      </c>
      <c r="AH29" t="s">
        <v>212</v>
      </c>
      <c r="AI29" t="s">
        <v>212</v>
      </c>
      <c r="AJ29" t="s">
        <v>212</v>
      </c>
      <c r="AK29">
        <v>0.59000000000000008</v>
      </c>
      <c r="AL29" t="s">
        <v>213</v>
      </c>
      <c r="AM29" t="s">
        <v>214</v>
      </c>
      <c r="AN29" t="s">
        <v>215</v>
      </c>
      <c r="AO29" t="s">
        <v>265</v>
      </c>
      <c r="AP29" t="s">
        <v>217</v>
      </c>
      <c r="AQ29" t="s">
        <v>218</v>
      </c>
      <c r="AR29" t="s">
        <v>219</v>
      </c>
      <c r="AS29" t="s">
        <v>266</v>
      </c>
      <c r="AT29" t="s">
        <v>266</v>
      </c>
      <c r="AU29" t="s">
        <v>211</v>
      </c>
      <c r="AV29">
        <v>441</v>
      </c>
      <c r="AW29">
        <v>595</v>
      </c>
      <c r="AX29">
        <v>478</v>
      </c>
      <c r="AY29">
        <f t="shared" si="0"/>
        <v>504.66666666666669</v>
      </c>
      <c r="AZ29" t="s">
        <v>211</v>
      </c>
      <c r="BA29">
        <v>2.6</v>
      </c>
      <c r="BB29">
        <v>5</v>
      </c>
      <c r="BC29" t="s">
        <v>211</v>
      </c>
      <c r="BD29">
        <v>2.58</v>
      </c>
      <c r="BE29" t="s">
        <v>230</v>
      </c>
      <c r="BF29" t="s">
        <v>221</v>
      </c>
      <c r="BG29" t="s">
        <v>221</v>
      </c>
      <c r="BH29">
        <v>1.2</v>
      </c>
      <c r="BI29">
        <v>0.6</v>
      </c>
      <c r="BJ29">
        <v>0.74</v>
      </c>
      <c r="BK29">
        <v>1.7</v>
      </c>
      <c r="BL29">
        <v>1</v>
      </c>
      <c r="BM29">
        <v>1</v>
      </c>
      <c r="BN29">
        <v>1</v>
      </c>
      <c r="BO29">
        <v>1</v>
      </c>
      <c r="BP29">
        <v>2</v>
      </c>
      <c r="BQ29">
        <v>4</v>
      </c>
      <c r="BR29">
        <v>4</v>
      </c>
      <c r="BS29">
        <v>2</v>
      </c>
      <c r="BT29">
        <v>3</v>
      </c>
      <c r="BU29"/>
      <c r="BV29">
        <v>3</v>
      </c>
      <c r="BW29"/>
      <c r="BX29">
        <v>4</v>
      </c>
      <c r="BY29">
        <v>3</v>
      </c>
      <c r="BZ29"/>
      <c r="CA29">
        <v>2</v>
      </c>
      <c r="CB29">
        <v>2</v>
      </c>
      <c r="CC29">
        <v>3</v>
      </c>
      <c r="CD29">
        <v>1</v>
      </c>
      <c r="CE29">
        <v>1</v>
      </c>
      <c r="CF29">
        <v>3</v>
      </c>
      <c r="CG29">
        <v>1</v>
      </c>
      <c r="CH29">
        <v>2</v>
      </c>
      <c r="CI29">
        <v>6</v>
      </c>
      <c r="CJ29">
        <v>3</v>
      </c>
      <c r="CK29">
        <v>6</v>
      </c>
      <c r="CL29">
        <v>3</v>
      </c>
      <c r="CM29">
        <v>1</v>
      </c>
      <c r="CN29"/>
      <c r="CO29">
        <v>1</v>
      </c>
      <c r="CP29">
        <v>6</v>
      </c>
      <c r="CQ29">
        <v>6</v>
      </c>
      <c r="CR29">
        <v>1</v>
      </c>
      <c r="CS29">
        <v>2</v>
      </c>
      <c r="CT29">
        <v>4</v>
      </c>
      <c r="CU29">
        <v>6</v>
      </c>
      <c r="CV29">
        <v>2</v>
      </c>
      <c r="CW29">
        <v>3</v>
      </c>
      <c r="CX29">
        <v>3</v>
      </c>
      <c r="CY29">
        <v>4</v>
      </c>
      <c r="CZ29">
        <v>1</v>
      </c>
      <c r="DA29">
        <v>3</v>
      </c>
      <c r="DB29">
        <v>1</v>
      </c>
      <c r="DC29">
        <v>5</v>
      </c>
      <c r="DD29">
        <v>3</v>
      </c>
      <c r="DE29">
        <v>4</v>
      </c>
      <c r="DF29">
        <v>4</v>
      </c>
      <c r="DG29">
        <v>6</v>
      </c>
      <c r="DH29"/>
      <c r="DI29"/>
      <c r="DJ29"/>
      <c r="DK29"/>
      <c r="DL29"/>
      <c r="DM29"/>
      <c r="DN29"/>
      <c r="DO29"/>
      <c r="DP29"/>
      <c r="DQ29"/>
      <c r="DR29"/>
      <c r="DS29"/>
    </row>
    <row r="30" spans="1:123" s="38" customFormat="1">
      <c r="A30" s="46">
        <v>43661.583240740743</v>
      </c>
      <c r="B30" s="48" t="s">
        <v>50</v>
      </c>
      <c r="C30" s="36">
        <f t="shared" si="1"/>
        <v>29</v>
      </c>
      <c r="D30" s="73" t="s">
        <v>139</v>
      </c>
      <c r="E30" s="48" t="s">
        <v>66</v>
      </c>
      <c r="F30" s="69">
        <v>11</v>
      </c>
      <c r="G30" s="48">
        <v>26</v>
      </c>
      <c r="H30" s="48">
        <v>52.9</v>
      </c>
      <c r="I30" s="48">
        <v>643</v>
      </c>
      <c r="J30" s="48">
        <v>0.9</v>
      </c>
      <c r="K30" s="48">
        <v>44</v>
      </c>
      <c r="L30" s="47">
        <v>0.57000000000000006</v>
      </c>
      <c r="M30" s="76">
        <v>24.345800000000001</v>
      </c>
      <c r="N30" s="48">
        <v>0.08</v>
      </c>
      <c r="O30" s="48">
        <v>47.2</v>
      </c>
      <c r="P30" s="47">
        <v>1.04</v>
      </c>
      <c r="Q30" s="37"/>
      <c r="R30" s="47">
        <v>512</v>
      </c>
      <c r="S30" s="47">
        <v>430</v>
      </c>
      <c r="T30" s="47">
        <v>286</v>
      </c>
      <c r="U30" s="37"/>
      <c r="V30" s="39">
        <f t="shared" si="2"/>
        <v>471</v>
      </c>
      <c r="W30" s="37"/>
      <c r="X30" s="47">
        <v>7</v>
      </c>
      <c r="Y30" s="47">
        <v>1.4</v>
      </c>
      <c r="Z30" s="47">
        <v>1.2</v>
      </c>
      <c r="AA30" s="47">
        <v>2.5999999999999996</v>
      </c>
      <c r="AB30" s="47">
        <v>9.6</v>
      </c>
      <c r="AC30" s="47"/>
      <c r="AD30" s="47">
        <v>2</v>
      </c>
      <c r="AE30" s="37"/>
      <c r="AF30" s="89" t="s">
        <v>225</v>
      </c>
      <c r="AG30" t="s">
        <v>211</v>
      </c>
      <c r="AH30" t="s">
        <v>211</v>
      </c>
      <c r="AI30" t="s">
        <v>211</v>
      </c>
      <c r="AJ30" t="s">
        <v>211</v>
      </c>
      <c r="AK30">
        <v>0.57000000000000006</v>
      </c>
      <c r="AL30" t="s">
        <v>213</v>
      </c>
      <c r="AM30" t="s">
        <v>214</v>
      </c>
      <c r="AN30" t="s">
        <v>215</v>
      </c>
      <c r="AO30" t="s">
        <v>216</v>
      </c>
      <c r="AP30" t="s">
        <v>217</v>
      </c>
      <c r="AQ30" t="s">
        <v>218</v>
      </c>
      <c r="AR30" t="s">
        <v>219</v>
      </c>
      <c r="AS30" t="s">
        <v>266</v>
      </c>
      <c r="AT30" t="s">
        <v>266</v>
      </c>
      <c r="AU30" t="s">
        <v>211</v>
      </c>
      <c r="AV30">
        <v>512</v>
      </c>
      <c r="AW30">
        <v>430</v>
      </c>
      <c r="AX30">
        <v>286</v>
      </c>
      <c r="AY30">
        <f t="shared" si="0"/>
        <v>409.33333333333331</v>
      </c>
      <c r="AZ30" t="s">
        <v>211</v>
      </c>
      <c r="BA30">
        <v>2.6</v>
      </c>
      <c r="BB30">
        <v>1</v>
      </c>
      <c r="BC30" t="s">
        <v>211</v>
      </c>
      <c r="BD30">
        <v>7</v>
      </c>
      <c r="BE30" t="s">
        <v>230</v>
      </c>
      <c r="BF30" t="s">
        <v>221</v>
      </c>
      <c r="BG30" t="s">
        <v>221</v>
      </c>
      <c r="BH30">
        <v>2.4</v>
      </c>
      <c r="BI30">
        <v>0.61</v>
      </c>
      <c r="BJ30">
        <v>0.7</v>
      </c>
      <c r="BK30">
        <v>1.04</v>
      </c>
      <c r="BL30">
        <v>2</v>
      </c>
      <c r="BM30">
        <v>4</v>
      </c>
      <c r="BN30">
        <v>4</v>
      </c>
      <c r="BO30">
        <v>2</v>
      </c>
      <c r="BP30">
        <v>2</v>
      </c>
      <c r="BQ30">
        <v>7</v>
      </c>
      <c r="BR30">
        <v>2</v>
      </c>
      <c r="BS30">
        <v>3</v>
      </c>
      <c r="BT30">
        <v>3</v>
      </c>
      <c r="BU30">
        <v>2</v>
      </c>
      <c r="BV30">
        <v>2</v>
      </c>
      <c r="BW30">
        <v>2</v>
      </c>
      <c r="BX30">
        <v>1</v>
      </c>
      <c r="BY30">
        <v>3</v>
      </c>
      <c r="BZ30">
        <v>3</v>
      </c>
      <c r="CA30">
        <v>6</v>
      </c>
      <c r="CB30">
        <v>6</v>
      </c>
      <c r="CC30">
        <v>6</v>
      </c>
      <c r="CD30">
        <v>2</v>
      </c>
      <c r="CE30">
        <v>1</v>
      </c>
      <c r="CF30">
        <v>7</v>
      </c>
      <c r="CG30">
        <v>1</v>
      </c>
      <c r="CH30">
        <v>3</v>
      </c>
      <c r="CI30">
        <v>6</v>
      </c>
      <c r="CJ30">
        <v>6</v>
      </c>
      <c r="CK30">
        <v>6</v>
      </c>
      <c r="CL30">
        <v>6</v>
      </c>
      <c r="CM30">
        <v>1</v>
      </c>
      <c r="CN30"/>
      <c r="CO30">
        <v>2</v>
      </c>
      <c r="CP30">
        <v>6</v>
      </c>
      <c r="CQ30">
        <v>6</v>
      </c>
      <c r="CR30">
        <v>2</v>
      </c>
      <c r="CS30">
        <v>2</v>
      </c>
      <c r="CT30">
        <v>5</v>
      </c>
      <c r="CU30">
        <v>6</v>
      </c>
      <c r="CV30">
        <v>2</v>
      </c>
      <c r="CW30">
        <v>2</v>
      </c>
      <c r="CX30">
        <v>3</v>
      </c>
      <c r="CY30">
        <v>1</v>
      </c>
      <c r="CZ30">
        <v>2</v>
      </c>
      <c r="DA30">
        <v>2</v>
      </c>
      <c r="DB30">
        <v>1</v>
      </c>
      <c r="DC30">
        <v>1</v>
      </c>
      <c r="DD30">
        <v>2</v>
      </c>
      <c r="DE30">
        <v>2</v>
      </c>
      <c r="DF30">
        <v>2</v>
      </c>
      <c r="DG30">
        <v>4</v>
      </c>
      <c r="DH30"/>
      <c r="DI30"/>
      <c r="DJ30"/>
      <c r="DK30"/>
      <c r="DL30"/>
      <c r="DM30"/>
      <c r="DN30"/>
      <c r="DO30"/>
      <c r="DP30"/>
      <c r="DQ30"/>
      <c r="DR30"/>
      <c r="DS30"/>
    </row>
    <row r="31" spans="1:123" s="38" customFormat="1">
      <c r="A31" s="46">
        <v>43662.485115740739</v>
      </c>
      <c r="B31" s="48" t="s">
        <v>51</v>
      </c>
      <c r="C31" s="36">
        <f t="shared" si="1"/>
        <v>30</v>
      </c>
      <c r="D31" s="73" t="s">
        <v>139</v>
      </c>
      <c r="E31" s="48" t="s">
        <v>66</v>
      </c>
      <c r="F31" s="69">
        <v>11</v>
      </c>
      <c r="G31" s="48">
        <v>24.9</v>
      </c>
      <c r="H31" s="48">
        <v>64.7</v>
      </c>
      <c r="I31" s="48">
        <v>504.3</v>
      </c>
      <c r="J31" s="48">
        <v>0.91500000000000004</v>
      </c>
      <c r="K31" s="48">
        <v>42.4</v>
      </c>
      <c r="L31" s="47">
        <v>0.59000000000000008</v>
      </c>
      <c r="M31" s="76">
        <v>25.405999999999999</v>
      </c>
      <c r="N31" s="48">
        <v>0.09</v>
      </c>
      <c r="O31" s="48">
        <v>55.8</v>
      </c>
      <c r="P31" s="47">
        <v>1.8</v>
      </c>
      <c r="Q31" s="37"/>
      <c r="R31" s="47">
        <v>460</v>
      </c>
      <c r="S31" s="47">
        <v>400</v>
      </c>
      <c r="T31" s="47">
        <v>203</v>
      </c>
      <c r="U31" s="37"/>
      <c r="V31" s="39">
        <f t="shared" si="2"/>
        <v>430</v>
      </c>
      <c r="W31" s="37"/>
      <c r="X31" s="47">
        <v>1.2</v>
      </c>
      <c r="Y31" s="47">
        <v>0.7</v>
      </c>
      <c r="Z31" s="47">
        <v>0</v>
      </c>
      <c r="AA31" s="47">
        <v>0.7</v>
      </c>
      <c r="AB31" s="47">
        <v>1.9</v>
      </c>
      <c r="AC31" s="47"/>
      <c r="AD31" s="47">
        <v>4</v>
      </c>
      <c r="AE31" s="37"/>
      <c r="AF31" s="89" t="s">
        <v>225</v>
      </c>
      <c r="AG31" t="s">
        <v>211</v>
      </c>
      <c r="AH31" t="s">
        <v>212</v>
      </c>
      <c r="AI31" t="s">
        <v>212</v>
      </c>
      <c r="AJ31" t="s">
        <v>259</v>
      </c>
      <c r="AK31">
        <v>0.59000000000000008</v>
      </c>
      <c r="AL31" t="s">
        <v>226</v>
      </c>
      <c r="AM31" t="s">
        <v>219</v>
      </c>
      <c r="AN31" t="s">
        <v>215</v>
      </c>
      <c r="AO31" t="s">
        <v>267</v>
      </c>
      <c r="AP31" t="s">
        <v>217</v>
      </c>
      <c r="AQ31" t="s">
        <v>268</v>
      </c>
      <c r="AR31" t="s">
        <v>219</v>
      </c>
      <c r="AS31" t="s">
        <v>219</v>
      </c>
      <c r="AT31" t="s">
        <v>264</v>
      </c>
      <c r="AU31" t="s">
        <v>211</v>
      </c>
      <c r="AV31">
        <v>460</v>
      </c>
      <c r="AW31">
        <v>400</v>
      </c>
      <c r="AX31">
        <v>203</v>
      </c>
      <c r="AY31">
        <f t="shared" si="0"/>
        <v>354.33333333333331</v>
      </c>
      <c r="AZ31" t="s">
        <v>211</v>
      </c>
      <c r="BA31">
        <v>2.59</v>
      </c>
      <c r="BB31">
        <v>1.7</v>
      </c>
      <c r="BC31" t="s">
        <v>211</v>
      </c>
      <c r="BD31">
        <v>3</v>
      </c>
      <c r="BE31" t="s">
        <v>230</v>
      </c>
      <c r="BF31" t="s">
        <v>221</v>
      </c>
      <c r="BG31" t="s">
        <v>230</v>
      </c>
      <c r="BH31">
        <v>1.8</v>
      </c>
      <c r="BI31">
        <v>0.59</v>
      </c>
      <c r="BJ31">
        <v>0.84</v>
      </c>
      <c r="BK31">
        <v>1.8</v>
      </c>
      <c r="BL31">
        <v>2</v>
      </c>
      <c r="BM31">
        <v>1</v>
      </c>
      <c r="BN31">
        <v>1</v>
      </c>
      <c r="BO31">
        <v>1</v>
      </c>
      <c r="BP31">
        <v>1</v>
      </c>
      <c r="BQ31">
        <v>5</v>
      </c>
      <c r="BR31">
        <v>4</v>
      </c>
      <c r="BS31">
        <v>3</v>
      </c>
      <c r="BT31">
        <v>2</v>
      </c>
      <c r="BU31"/>
      <c r="BV31"/>
      <c r="BW31"/>
      <c r="BX31">
        <v>4</v>
      </c>
      <c r="BY31">
        <v>3</v>
      </c>
      <c r="BZ31"/>
      <c r="CA31">
        <v>6</v>
      </c>
      <c r="CB31">
        <v>5</v>
      </c>
      <c r="CC31">
        <v>5</v>
      </c>
      <c r="CD31">
        <v>2</v>
      </c>
      <c r="CE31">
        <v>1</v>
      </c>
      <c r="CF31">
        <v>5</v>
      </c>
      <c r="CG31">
        <v>1</v>
      </c>
      <c r="CH31">
        <v>3</v>
      </c>
      <c r="CI31">
        <v>6</v>
      </c>
      <c r="CJ31">
        <v>6</v>
      </c>
      <c r="CK31">
        <v>4</v>
      </c>
      <c r="CL31">
        <v>4</v>
      </c>
      <c r="CM31">
        <v>1</v>
      </c>
      <c r="CN31"/>
      <c r="CO31">
        <v>2</v>
      </c>
      <c r="CP31">
        <v>5</v>
      </c>
      <c r="CQ31">
        <v>5</v>
      </c>
      <c r="CR31">
        <v>2</v>
      </c>
      <c r="CS31">
        <v>2</v>
      </c>
      <c r="CT31">
        <v>4</v>
      </c>
      <c r="CU31">
        <v>4</v>
      </c>
      <c r="CV31">
        <v>2</v>
      </c>
      <c r="CW31">
        <v>2</v>
      </c>
      <c r="CX31" t="s">
        <v>235</v>
      </c>
      <c r="CY31">
        <v>4</v>
      </c>
      <c r="CZ31">
        <v>1</v>
      </c>
      <c r="DA31">
        <v>3</v>
      </c>
      <c r="DB31">
        <v>1</v>
      </c>
      <c r="DC31">
        <v>4</v>
      </c>
      <c r="DD31">
        <v>3</v>
      </c>
      <c r="DE31">
        <v>4</v>
      </c>
      <c r="DF31">
        <v>5</v>
      </c>
      <c r="DG31">
        <v>5</v>
      </c>
      <c r="DH31" t="s">
        <v>211</v>
      </c>
      <c r="DI31"/>
      <c r="DJ31"/>
      <c r="DK31"/>
      <c r="DL31"/>
      <c r="DM31"/>
      <c r="DN31"/>
      <c r="DO31"/>
      <c r="DP31"/>
      <c r="DQ31"/>
      <c r="DR31"/>
      <c r="DS31"/>
    </row>
    <row r="32" spans="1:123" s="38" customFormat="1">
      <c r="A32" s="46">
        <v>43662.508055555554</v>
      </c>
      <c r="B32" s="48" t="s">
        <v>52</v>
      </c>
      <c r="C32" s="36">
        <f t="shared" si="1"/>
        <v>31</v>
      </c>
      <c r="D32" s="73" t="s">
        <v>139</v>
      </c>
      <c r="E32" s="48" t="s">
        <v>66</v>
      </c>
      <c r="F32" s="69">
        <v>11</v>
      </c>
      <c r="G32" s="48">
        <v>24.8</v>
      </c>
      <c r="H32" s="48">
        <v>57.1</v>
      </c>
      <c r="I32" s="48">
        <v>566.33333333333337</v>
      </c>
      <c r="J32" s="48">
        <v>0.88888888888888906</v>
      </c>
      <c r="K32" s="48">
        <v>40</v>
      </c>
      <c r="L32" s="47">
        <v>0.51</v>
      </c>
      <c r="M32" s="76">
        <v>24.902899999999999</v>
      </c>
      <c r="N32" s="48">
        <v>0.03</v>
      </c>
      <c r="O32" s="48">
        <v>59.6</v>
      </c>
      <c r="P32" s="47">
        <v>0</v>
      </c>
      <c r="Q32" s="37"/>
      <c r="R32" s="47">
        <v>628</v>
      </c>
      <c r="S32" s="47">
        <v>422</v>
      </c>
      <c r="T32" s="47">
        <v>272</v>
      </c>
      <c r="U32" s="37"/>
      <c r="V32" s="39">
        <f t="shared" si="2"/>
        <v>525</v>
      </c>
      <c r="W32" s="37"/>
      <c r="X32" s="47">
        <v>2</v>
      </c>
      <c r="Y32" s="47">
        <v>1</v>
      </c>
      <c r="Z32" s="47">
        <v>7.9</v>
      </c>
      <c r="AA32" s="47">
        <v>8.9</v>
      </c>
      <c r="AB32" s="47">
        <v>10.9</v>
      </c>
      <c r="AC32" s="47"/>
      <c r="AD32" s="47">
        <v>6</v>
      </c>
      <c r="AE32" s="37"/>
      <c r="AF32" s="89" t="s">
        <v>210</v>
      </c>
      <c r="AG32" t="s">
        <v>211</v>
      </c>
      <c r="AH32" t="s">
        <v>212</v>
      </c>
      <c r="AI32" t="s">
        <v>212</v>
      </c>
      <c r="AJ32" t="s">
        <v>259</v>
      </c>
      <c r="AK32">
        <v>0.51</v>
      </c>
      <c r="AL32" t="s">
        <v>226</v>
      </c>
      <c r="AM32" t="s">
        <v>269</v>
      </c>
      <c r="AN32" t="s">
        <v>215</v>
      </c>
      <c r="AO32" t="s">
        <v>223</v>
      </c>
      <c r="AP32" t="s">
        <v>217</v>
      </c>
      <c r="AQ32" t="s">
        <v>270</v>
      </c>
      <c r="AR32" t="s">
        <v>219</v>
      </c>
      <c r="AS32" t="s">
        <v>219</v>
      </c>
      <c r="AT32" t="s">
        <v>271</v>
      </c>
      <c r="AU32" t="s">
        <v>211</v>
      </c>
      <c r="AV32">
        <v>628</v>
      </c>
      <c r="AW32">
        <v>422</v>
      </c>
      <c r="AX32">
        <v>272</v>
      </c>
      <c r="AY32">
        <f t="shared" si="0"/>
        <v>440.66666666666669</v>
      </c>
      <c r="AZ32" t="s">
        <v>211</v>
      </c>
      <c r="BA32">
        <v>2.58</v>
      </c>
      <c r="BB32" t="s">
        <v>221</v>
      </c>
      <c r="BC32" t="s">
        <v>211</v>
      </c>
      <c r="BD32">
        <v>2</v>
      </c>
      <c r="BE32" t="s">
        <v>230</v>
      </c>
      <c r="BF32" t="s">
        <v>221</v>
      </c>
      <c r="BG32" t="s">
        <v>221</v>
      </c>
      <c r="BH32">
        <v>1.52</v>
      </c>
      <c r="BI32">
        <v>0.76</v>
      </c>
      <c r="BJ32">
        <v>0.75</v>
      </c>
      <c r="BK32" t="s">
        <v>221</v>
      </c>
      <c r="BL32">
        <v>2</v>
      </c>
      <c r="BM32">
        <v>3</v>
      </c>
      <c r="BN32">
        <v>2</v>
      </c>
      <c r="BO32">
        <v>2</v>
      </c>
      <c r="BP32">
        <v>3</v>
      </c>
      <c r="BQ32">
        <v>4</v>
      </c>
      <c r="BR32">
        <v>6</v>
      </c>
      <c r="BS32">
        <v>2</v>
      </c>
      <c r="BT32">
        <v>2</v>
      </c>
      <c r="BU32">
        <v>4</v>
      </c>
      <c r="BV32">
        <v>3</v>
      </c>
      <c r="BW32">
        <v>3</v>
      </c>
      <c r="BX32">
        <v>3</v>
      </c>
      <c r="BY32">
        <v>3</v>
      </c>
      <c r="BZ32">
        <v>1</v>
      </c>
      <c r="CA32">
        <v>7</v>
      </c>
      <c r="CB32">
        <v>7</v>
      </c>
      <c r="CC32">
        <v>6</v>
      </c>
      <c r="CD32">
        <v>1</v>
      </c>
      <c r="CE32">
        <v>1</v>
      </c>
      <c r="CF32">
        <v>5</v>
      </c>
      <c r="CG32">
        <v>1</v>
      </c>
      <c r="CH32">
        <v>3</v>
      </c>
      <c r="CI32">
        <v>6</v>
      </c>
      <c r="CJ32">
        <v>6</v>
      </c>
      <c r="CK32">
        <v>4</v>
      </c>
      <c r="CL32">
        <v>6</v>
      </c>
      <c r="CM32">
        <v>1</v>
      </c>
      <c r="CN32" t="s">
        <v>223</v>
      </c>
      <c r="CO32">
        <v>1</v>
      </c>
      <c r="CP32">
        <v>7</v>
      </c>
      <c r="CQ32">
        <v>3</v>
      </c>
      <c r="CR32">
        <v>1</v>
      </c>
      <c r="CS32">
        <v>2</v>
      </c>
      <c r="CT32">
        <v>5</v>
      </c>
      <c r="CU32">
        <v>6</v>
      </c>
      <c r="CV32">
        <v>2</v>
      </c>
      <c r="CW32">
        <v>2</v>
      </c>
      <c r="CX32" t="s">
        <v>253</v>
      </c>
      <c r="CY32">
        <v>6</v>
      </c>
      <c r="CZ32">
        <v>1</v>
      </c>
      <c r="DA32">
        <v>3</v>
      </c>
      <c r="DB32">
        <v>2</v>
      </c>
      <c r="DC32">
        <v>5</v>
      </c>
      <c r="DD32">
        <v>3</v>
      </c>
      <c r="DE32">
        <v>4</v>
      </c>
      <c r="DF32">
        <v>4</v>
      </c>
      <c r="DG32">
        <v>5</v>
      </c>
      <c r="DH32" t="s">
        <v>272</v>
      </c>
      <c r="DI32"/>
      <c r="DJ32"/>
      <c r="DK32"/>
      <c r="DL32"/>
      <c r="DM32"/>
      <c r="DN32"/>
      <c r="DO32"/>
      <c r="DP32"/>
      <c r="DQ32"/>
      <c r="DR32"/>
      <c r="DS32"/>
    </row>
    <row r="33" spans="1:123" s="38" customFormat="1">
      <c r="A33" s="46">
        <v>43662.515717592592</v>
      </c>
      <c r="B33" s="48" t="s">
        <v>53</v>
      </c>
      <c r="C33" s="36">
        <f t="shared" si="1"/>
        <v>32</v>
      </c>
      <c r="D33" s="73" t="s">
        <v>139</v>
      </c>
      <c r="E33" s="48" t="s">
        <v>66</v>
      </c>
      <c r="F33" s="69">
        <v>11</v>
      </c>
      <c r="G33" s="48">
        <v>25.5</v>
      </c>
      <c r="H33" s="48">
        <v>56.3</v>
      </c>
      <c r="I33" s="48">
        <v>549.58064516129036</v>
      </c>
      <c r="J33" s="48">
        <v>0.84838709677419366</v>
      </c>
      <c r="K33" s="48">
        <v>37.58064516129032</v>
      </c>
      <c r="L33" s="47">
        <v>0.57000000000000006</v>
      </c>
      <c r="M33" s="76">
        <v>25.389600000000002</v>
      </c>
      <c r="N33" s="48">
        <v>0.06</v>
      </c>
      <c r="O33" s="48">
        <v>46.2</v>
      </c>
      <c r="P33" s="47">
        <v>1.8</v>
      </c>
      <c r="Q33" s="37"/>
      <c r="R33" s="47">
        <v>450</v>
      </c>
      <c r="S33" s="47">
        <v>468</v>
      </c>
      <c r="T33" s="47">
        <v>278</v>
      </c>
      <c r="U33" s="37"/>
      <c r="V33" s="39">
        <f t="shared" si="2"/>
        <v>459</v>
      </c>
      <c r="W33" s="37"/>
      <c r="X33" s="47">
        <v>5.0999999999999996</v>
      </c>
      <c r="Y33" s="47">
        <v>2.6</v>
      </c>
      <c r="Z33" s="47">
        <v>0</v>
      </c>
      <c r="AA33" s="47">
        <v>2.6</v>
      </c>
      <c r="AB33" s="47">
        <v>7.6999999999999993</v>
      </c>
      <c r="AC33" s="47"/>
      <c r="AD33" s="47">
        <v>3</v>
      </c>
      <c r="AE33" s="37"/>
      <c r="AF33" s="89" t="s">
        <v>225</v>
      </c>
      <c r="AG33" t="s">
        <v>211</v>
      </c>
      <c r="AH33" t="s">
        <v>212</v>
      </c>
      <c r="AI33" t="s">
        <v>212</v>
      </c>
      <c r="AJ33" t="s">
        <v>259</v>
      </c>
      <c r="AK33">
        <v>0.57000000000000006</v>
      </c>
      <c r="AL33" t="s">
        <v>226</v>
      </c>
      <c r="AM33" t="s">
        <v>219</v>
      </c>
      <c r="AN33" t="s">
        <v>215</v>
      </c>
      <c r="AO33" t="s">
        <v>267</v>
      </c>
      <c r="AP33" t="s">
        <v>217</v>
      </c>
      <c r="AQ33" t="s">
        <v>227</v>
      </c>
      <c r="AR33" t="s">
        <v>219</v>
      </c>
      <c r="AS33" t="s">
        <v>219</v>
      </c>
      <c r="AT33" t="s">
        <v>264</v>
      </c>
      <c r="AU33" t="s">
        <v>211</v>
      </c>
      <c r="AV33">
        <v>450</v>
      </c>
      <c r="AW33">
        <v>468</v>
      </c>
      <c r="AX33">
        <v>278</v>
      </c>
      <c r="AY33">
        <f t="shared" si="0"/>
        <v>398.66666666666669</v>
      </c>
      <c r="AZ33" t="s">
        <v>211</v>
      </c>
      <c r="BA33">
        <v>2.59</v>
      </c>
      <c r="BB33">
        <v>1.37</v>
      </c>
      <c r="BC33" t="s">
        <v>211</v>
      </c>
      <c r="BD33">
        <v>0</v>
      </c>
      <c r="BE33" t="s">
        <v>230</v>
      </c>
      <c r="BF33" t="s">
        <v>221</v>
      </c>
      <c r="BG33" t="s">
        <v>221</v>
      </c>
      <c r="BH33">
        <v>1.53</v>
      </c>
      <c r="BI33">
        <v>0.76</v>
      </c>
      <c r="BJ33">
        <v>0.74</v>
      </c>
      <c r="BK33">
        <v>1.8</v>
      </c>
      <c r="BL33">
        <v>1</v>
      </c>
      <c r="BM33">
        <v>3</v>
      </c>
      <c r="BN33">
        <v>2</v>
      </c>
      <c r="BO33">
        <v>3</v>
      </c>
      <c r="BP33">
        <v>2</v>
      </c>
      <c r="BQ33">
        <v>2</v>
      </c>
      <c r="BR33">
        <v>3</v>
      </c>
      <c r="BS33">
        <v>2</v>
      </c>
      <c r="BT33">
        <v>2</v>
      </c>
      <c r="BU33">
        <v>4</v>
      </c>
      <c r="BV33">
        <v>4</v>
      </c>
      <c r="BW33">
        <v>3</v>
      </c>
      <c r="BX33">
        <v>3</v>
      </c>
      <c r="BY33">
        <v>2</v>
      </c>
      <c r="BZ33">
        <v>2</v>
      </c>
      <c r="CA33">
        <v>2</v>
      </c>
      <c r="CB33">
        <v>2</v>
      </c>
      <c r="CC33">
        <v>2</v>
      </c>
      <c r="CD33">
        <v>1</v>
      </c>
      <c r="CE33">
        <v>1</v>
      </c>
      <c r="CF33">
        <v>5</v>
      </c>
      <c r="CG33">
        <v>1</v>
      </c>
      <c r="CH33">
        <v>2</v>
      </c>
      <c r="CI33">
        <v>4</v>
      </c>
      <c r="CJ33">
        <v>2</v>
      </c>
      <c r="CK33">
        <v>4</v>
      </c>
      <c r="CL33">
        <v>2</v>
      </c>
      <c r="CM33">
        <v>1</v>
      </c>
      <c r="CN33"/>
      <c r="CO33">
        <v>2</v>
      </c>
      <c r="CP33">
        <v>4</v>
      </c>
      <c r="CQ33">
        <v>4</v>
      </c>
      <c r="CR33">
        <v>1</v>
      </c>
      <c r="CS33">
        <v>2</v>
      </c>
      <c r="CT33">
        <v>4</v>
      </c>
      <c r="CU33">
        <v>4</v>
      </c>
      <c r="CV33">
        <v>2</v>
      </c>
      <c r="CW33">
        <v>3</v>
      </c>
      <c r="CX33" t="s">
        <v>253</v>
      </c>
      <c r="CY33">
        <v>3</v>
      </c>
      <c r="CZ33">
        <v>1</v>
      </c>
      <c r="DA33">
        <v>3</v>
      </c>
      <c r="DB33">
        <v>2</v>
      </c>
      <c r="DC33">
        <v>4</v>
      </c>
      <c r="DD33">
        <v>4</v>
      </c>
      <c r="DE33">
        <v>4</v>
      </c>
      <c r="DF33">
        <v>4</v>
      </c>
      <c r="DG33">
        <v>4</v>
      </c>
      <c r="DH33" t="s">
        <v>273</v>
      </c>
      <c r="DI33"/>
      <c r="DJ33"/>
      <c r="DK33"/>
      <c r="DL33"/>
      <c r="DM33"/>
      <c r="DN33"/>
      <c r="DO33"/>
      <c r="DP33"/>
      <c r="DQ33"/>
      <c r="DR33"/>
      <c r="DS33"/>
    </row>
    <row r="34" spans="1:123" s="38" customFormat="1">
      <c r="A34" s="46">
        <v>43662.523553240739</v>
      </c>
      <c r="B34" s="48" t="s">
        <v>54</v>
      </c>
      <c r="C34" s="36">
        <f t="shared" si="1"/>
        <v>33</v>
      </c>
      <c r="D34" s="73" t="s">
        <v>139</v>
      </c>
      <c r="E34" s="48" t="s">
        <v>66</v>
      </c>
      <c r="F34" s="69">
        <v>11</v>
      </c>
      <c r="G34" s="48">
        <v>25.3</v>
      </c>
      <c r="H34" s="48">
        <v>56.3</v>
      </c>
      <c r="I34" s="48">
        <v>534.40909090909088</v>
      </c>
      <c r="J34" s="48">
        <v>0.84090909090909127</v>
      </c>
      <c r="K34" s="48">
        <v>40</v>
      </c>
      <c r="L34" s="47">
        <v>0.43000000000000005</v>
      </c>
      <c r="M34" s="76">
        <v>25.284199999999998</v>
      </c>
      <c r="N34" s="48">
        <v>0.15</v>
      </c>
      <c r="O34" s="48">
        <v>51</v>
      </c>
      <c r="P34" s="47">
        <v>1.8</v>
      </c>
      <c r="Q34" s="37"/>
      <c r="R34" s="47">
        <v>1623</v>
      </c>
      <c r="S34" s="47">
        <v>1230</v>
      </c>
      <c r="T34" s="47">
        <v>810</v>
      </c>
      <c r="U34" s="37"/>
      <c r="V34" s="39">
        <f t="shared" si="2"/>
        <v>1426.5</v>
      </c>
      <c r="W34" s="37"/>
      <c r="X34" s="47">
        <v>2.8</v>
      </c>
      <c r="Y34" s="47">
        <v>1.8</v>
      </c>
      <c r="Z34" s="47">
        <v>0</v>
      </c>
      <c r="AA34" s="47">
        <v>1.8</v>
      </c>
      <c r="AB34" s="47">
        <v>4.5999999999999996</v>
      </c>
      <c r="AC34" s="47"/>
      <c r="AD34" s="47">
        <v>6</v>
      </c>
      <c r="AE34" s="37"/>
      <c r="AF34" s="89" t="s">
        <v>225</v>
      </c>
      <c r="AG34" t="s">
        <v>211</v>
      </c>
      <c r="AH34" t="s">
        <v>212</v>
      </c>
      <c r="AI34" t="s">
        <v>212</v>
      </c>
      <c r="AJ34" t="s">
        <v>211</v>
      </c>
      <c r="AK34">
        <v>0.43000000000000005</v>
      </c>
      <c r="AL34" t="s">
        <v>226</v>
      </c>
      <c r="AM34" t="s">
        <v>219</v>
      </c>
      <c r="AN34" t="s">
        <v>215</v>
      </c>
      <c r="AO34" t="s">
        <v>216</v>
      </c>
      <c r="AP34" t="s">
        <v>217</v>
      </c>
      <c r="AQ34" t="s">
        <v>227</v>
      </c>
      <c r="AR34" t="s">
        <v>219</v>
      </c>
      <c r="AS34" t="s">
        <v>219</v>
      </c>
      <c r="AT34" t="s">
        <v>219</v>
      </c>
      <c r="AU34" t="s">
        <v>211</v>
      </c>
      <c r="AV34">
        <v>1623</v>
      </c>
      <c r="AW34">
        <v>1230</v>
      </c>
      <c r="AX34">
        <v>810</v>
      </c>
      <c r="AY34">
        <f t="shared" si="0"/>
        <v>1221</v>
      </c>
      <c r="AZ34" t="s">
        <v>211</v>
      </c>
      <c r="BA34">
        <v>2.59</v>
      </c>
      <c r="BB34">
        <v>1.4</v>
      </c>
      <c r="BC34" t="s">
        <v>211</v>
      </c>
      <c r="BD34">
        <v>2.1</v>
      </c>
      <c r="BE34" t="s">
        <v>230</v>
      </c>
      <c r="BF34" t="s">
        <v>221</v>
      </c>
      <c r="BG34" t="s">
        <v>221</v>
      </c>
      <c r="BH34">
        <v>1.53</v>
      </c>
      <c r="BI34">
        <v>0.76</v>
      </c>
      <c r="BJ34">
        <v>1.04</v>
      </c>
      <c r="BK34">
        <v>1.8</v>
      </c>
      <c r="BL34">
        <v>2</v>
      </c>
      <c r="BM34">
        <v>1</v>
      </c>
      <c r="BN34">
        <v>3</v>
      </c>
      <c r="BO34">
        <v>3</v>
      </c>
      <c r="BP34">
        <v>2</v>
      </c>
      <c r="BQ34">
        <v>5</v>
      </c>
      <c r="BR34">
        <v>6</v>
      </c>
      <c r="BS34">
        <v>3</v>
      </c>
      <c r="BT34">
        <v>2</v>
      </c>
      <c r="BU34">
        <v>5</v>
      </c>
      <c r="BV34">
        <v>5</v>
      </c>
      <c r="BW34">
        <v>5</v>
      </c>
      <c r="BX34">
        <v>3</v>
      </c>
      <c r="BY34">
        <v>3</v>
      </c>
      <c r="BZ34">
        <v>1</v>
      </c>
      <c r="CA34">
        <v>6</v>
      </c>
      <c r="CB34">
        <v>5</v>
      </c>
      <c r="CC34">
        <v>6</v>
      </c>
      <c r="CD34">
        <v>1</v>
      </c>
      <c r="CE34">
        <v>1</v>
      </c>
      <c r="CF34">
        <v>6</v>
      </c>
      <c r="CG34">
        <v>1</v>
      </c>
      <c r="CH34">
        <v>2</v>
      </c>
      <c r="CI34">
        <v>6</v>
      </c>
      <c r="CJ34">
        <v>5</v>
      </c>
      <c r="CK34">
        <v>4</v>
      </c>
      <c r="CL34">
        <v>6</v>
      </c>
      <c r="CM34">
        <v>1</v>
      </c>
      <c r="CN34"/>
      <c r="CO34">
        <v>1</v>
      </c>
      <c r="CP34">
        <v>6</v>
      </c>
      <c r="CQ34">
        <v>5</v>
      </c>
      <c r="CR34">
        <v>1</v>
      </c>
      <c r="CS34">
        <v>2</v>
      </c>
      <c r="CT34">
        <v>6</v>
      </c>
      <c r="CU34">
        <v>6</v>
      </c>
      <c r="CV34">
        <v>2</v>
      </c>
      <c r="CW34">
        <v>3</v>
      </c>
      <c r="CX34">
        <v>3</v>
      </c>
      <c r="CY34">
        <v>6</v>
      </c>
      <c r="CZ34">
        <v>1</v>
      </c>
      <c r="DA34">
        <v>3</v>
      </c>
      <c r="DB34">
        <v>1</v>
      </c>
      <c r="DC34">
        <v>5</v>
      </c>
      <c r="DD34">
        <v>4</v>
      </c>
      <c r="DE34">
        <v>4</v>
      </c>
      <c r="DF34">
        <v>6</v>
      </c>
      <c r="DG34">
        <v>5</v>
      </c>
      <c r="DH34" t="s">
        <v>274</v>
      </c>
      <c r="DI34"/>
      <c r="DJ34"/>
      <c r="DK34"/>
      <c r="DL34"/>
      <c r="DM34"/>
      <c r="DN34"/>
      <c r="DO34"/>
      <c r="DP34"/>
      <c r="DQ34"/>
      <c r="DR34"/>
      <c r="DS34"/>
    </row>
    <row r="35" spans="1:123" s="38" customFormat="1">
      <c r="A35" s="46">
        <v>43662.537997685184</v>
      </c>
      <c r="B35" s="48" t="s">
        <v>55</v>
      </c>
      <c r="C35" s="36">
        <f t="shared" si="1"/>
        <v>34</v>
      </c>
      <c r="D35" s="73" t="s">
        <v>139</v>
      </c>
      <c r="E35" s="48" t="s">
        <v>66</v>
      </c>
      <c r="F35" s="69">
        <v>11</v>
      </c>
      <c r="G35" s="48">
        <v>24.8</v>
      </c>
      <c r="H35" s="48">
        <v>57.4</v>
      </c>
      <c r="I35" s="48">
        <v>578.64</v>
      </c>
      <c r="J35" s="48">
        <v>0.77200000000000013</v>
      </c>
      <c r="K35" s="48">
        <v>40</v>
      </c>
      <c r="L35" s="47">
        <v>0.51</v>
      </c>
      <c r="M35" s="76">
        <v>24.918500000000002</v>
      </c>
      <c r="N35" s="48">
        <v>0.13</v>
      </c>
      <c r="O35" s="48">
        <v>55.4</v>
      </c>
      <c r="P35" s="47">
        <v>0</v>
      </c>
      <c r="Q35" s="37"/>
      <c r="R35" s="47">
        <v>806</v>
      </c>
      <c r="S35" s="47">
        <v>766</v>
      </c>
      <c r="T35" s="47">
        <v>197</v>
      </c>
      <c r="U35" s="37"/>
      <c r="V35" s="39">
        <f t="shared" si="2"/>
        <v>786</v>
      </c>
      <c r="W35" s="37"/>
      <c r="X35" s="47">
        <v>3.3</v>
      </c>
      <c r="Y35" s="47">
        <v>0</v>
      </c>
      <c r="Z35" s="47">
        <v>6.3</v>
      </c>
      <c r="AA35" s="47">
        <v>6.3</v>
      </c>
      <c r="AB35" s="47">
        <v>9.6</v>
      </c>
      <c r="AC35" s="47"/>
      <c r="AD35" s="47">
        <v>7</v>
      </c>
      <c r="AE35" s="37"/>
      <c r="AF35" s="89" t="s">
        <v>210</v>
      </c>
      <c r="AG35" t="s">
        <v>211</v>
      </c>
      <c r="AH35" t="s">
        <v>212</v>
      </c>
      <c r="AI35" t="s">
        <v>212</v>
      </c>
      <c r="AJ35" t="s">
        <v>259</v>
      </c>
      <c r="AK35">
        <v>0.51</v>
      </c>
      <c r="AL35" t="s">
        <v>226</v>
      </c>
      <c r="AM35" t="s">
        <v>275</v>
      </c>
      <c r="AN35" t="s">
        <v>215</v>
      </c>
      <c r="AO35" t="s">
        <v>216</v>
      </c>
      <c r="AP35" t="s">
        <v>217</v>
      </c>
      <c r="AQ35" t="s">
        <v>227</v>
      </c>
      <c r="AR35" t="s">
        <v>219</v>
      </c>
      <c r="AS35" t="s">
        <v>219</v>
      </c>
      <c r="AT35" t="s">
        <v>221</v>
      </c>
      <c r="AU35" t="s">
        <v>211</v>
      </c>
      <c r="AV35">
        <v>806</v>
      </c>
      <c r="AW35">
        <v>766</v>
      </c>
      <c r="AX35">
        <v>197</v>
      </c>
      <c r="AY35">
        <f t="shared" si="0"/>
        <v>589.66666666666663</v>
      </c>
      <c r="AZ35" t="s">
        <v>211</v>
      </c>
      <c r="BA35">
        <v>2.92</v>
      </c>
      <c r="BB35" t="s">
        <v>221</v>
      </c>
      <c r="BC35" t="s">
        <v>212</v>
      </c>
      <c r="BD35">
        <v>0.79</v>
      </c>
      <c r="BE35" t="s">
        <v>276</v>
      </c>
      <c r="BF35" t="s">
        <v>221</v>
      </c>
      <c r="BG35" t="s">
        <v>221</v>
      </c>
      <c r="BH35">
        <v>1.5</v>
      </c>
      <c r="BI35">
        <v>0.66</v>
      </c>
      <c r="BJ35">
        <v>0.78</v>
      </c>
      <c r="BK35" t="s">
        <v>221</v>
      </c>
      <c r="BL35">
        <v>2</v>
      </c>
      <c r="BM35">
        <v>3</v>
      </c>
      <c r="BN35">
        <v>2</v>
      </c>
      <c r="BO35">
        <v>2</v>
      </c>
      <c r="BP35">
        <v>2</v>
      </c>
      <c r="BQ35">
        <v>4</v>
      </c>
      <c r="BR35">
        <v>7</v>
      </c>
      <c r="BS35">
        <v>2</v>
      </c>
      <c r="BT35">
        <v>2</v>
      </c>
      <c r="BU35">
        <v>3</v>
      </c>
      <c r="BV35">
        <v>3</v>
      </c>
      <c r="BW35">
        <v>3</v>
      </c>
      <c r="BX35">
        <v>3</v>
      </c>
      <c r="BY35">
        <v>2</v>
      </c>
      <c r="BZ35">
        <v>1</v>
      </c>
      <c r="CA35">
        <v>1</v>
      </c>
      <c r="CB35">
        <v>1</v>
      </c>
      <c r="CC35">
        <v>1</v>
      </c>
      <c r="CD35">
        <v>1</v>
      </c>
      <c r="CE35">
        <v>1</v>
      </c>
      <c r="CF35">
        <v>6</v>
      </c>
      <c r="CG35">
        <v>1</v>
      </c>
      <c r="CH35">
        <v>3</v>
      </c>
      <c r="CI35">
        <v>4</v>
      </c>
      <c r="CJ35">
        <v>5</v>
      </c>
      <c r="CK35">
        <v>2</v>
      </c>
      <c r="CL35">
        <v>5</v>
      </c>
      <c r="CM35">
        <v>5</v>
      </c>
      <c r="CN35" t="s">
        <v>277</v>
      </c>
      <c r="CO35">
        <v>1</v>
      </c>
      <c r="CP35">
        <v>7</v>
      </c>
      <c r="CQ35">
        <v>4</v>
      </c>
      <c r="CR35">
        <v>1</v>
      </c>
      <c r="CS35">
        <v>1</v>
      </c>
      <c r="CT35">
        <v>6</v>
      </c>
      <c r="CU35">
        <v>6</v>
      </c>
      <c r="CV35">
        <v>2</v>
      </c>
      <c r="CW35">
        <v>1</v>
      </c>
      <c r="CX35">
        <v>3</v>
      </c>
      <c r="CY35">
        <v>7</v>
      </c>
      <c r="CZ35">
        <v>1</v>
      </c>
      <c r="DA35">
        <v>3</v>
      </c>
      <c r="DB35">
        <v>2</v>
      </c>
      <c r="DC35">
        <v>6</v>
      </c>
      <c r="DD35">
        <v>3</v>
      </c>
      <c r="DE35">
        <v>6</v>
      </c>
      <c r="DF35">
        <v>6</v>
      </c>
      <c r="DG35">
        <v>5</v>
      </c>
      <c r="DH35" t="s">
        <v>278</v>
      </c>
      <c r="DI35"/>
      <c r="DJ35"/>
      <c r="DK35"/>
      <c r="DL35"/>
      <c r="DM35"/>
      <c r="DN35"/>
      <c r="DO35"/>
      <c r="DP35"/>
      <c r="DQ35"/>
      <c r="DR35"/>
      <c r="DS35"/>
    </row>
    <row r="36" spans="1:123" s="38" customFormat="1">
      <c r="A36" s="49">
        <v>43662.558425925927</v>
      </c>
      <c r="B36" s="48" t="s">
        <v>56</v>
      </c>
      <c r="C36" s="36">
        <f t="shared" si="1"/>
        <v>35</v>
      </c>
      <c r="D36" s="73" t="s">
        <v>139</v>
      </c>
      <c r="E36" s="48" t="s">
        <v>66</v>
      </c>
      <c r="F36" s="69">
        <v>11</v>
      </c>
      <c r="G36" s="48">
        <v>24</v>
      </c>
      <c r="H36" s="48">
        <v>58.8</v>
      </c>
      <c r="I36" s="48">
        <v>621.47222222222217</v>
      </c>
      <c r="J36" s="48">
        <v>0.86111111111111116</v>
      </c>
      <c r="K36" s="48">
        <v>52.666666666666664</v>
      </c>
      <c r="L36" s="47">
        <v>0.37</v>
      </c>
      <c r="M36" s="76">
        <v>24.157299999999999</v>
      </c>
      <c r="N36" s="48">
        <v>0.02</v>
      </c>
      <c r="O36" s="48">
        <v>45.7</v>
      </c>
      <c r="P36" s="47">
        <v>0</v>
      </c>
      <c r="Q36" s="37"/>
      <c r="R36" s="47">
        <v>338</v>
      </c>
      <c r="S36" s="47">
        <v>296</v>
      </c>
      <c r="T36" s="47">
        <v>129</v>
      </c>
      <c r="U36" s="37"/>
      <c r="V36" s="39">
        <f t="shared" si="2"/>
        <v>317</v>
      </c>
      <c r="W36" s="37"/>
      <c r="X36" s="47">
        <v>0</v>
      </c>
      <c r="Y36" s="47">
        <v>0</v>
      </c>
      <c r="Z36" s="47">
        <v>0</v>
      </c>
      <c r="AA36" s="47">
        <v>0</v>
      </c>
      <c r="AB36" s="47">
        <v>0</v>
      </c>
      <c r="AC36" s="47"/>
      <c r="AD36" s="47">
        <v>2</v>
      </c>
      <c r="AE36" s="37"/>
      <c r="AF36" s="89" t="s">
        <v>251</v>
      </c>
      <c r="AG36" t="s">
        <v>211</v>
      </c>
      <c r="AH36" t="s">
        <v>211</v>
      </c>
      <c r="AI36" t="s">
        <v>279</v>
      </c>
      <c r="AJ36" t="s">
        <v>271</v>
      </c>
      <c r="AK36">
        <v>0.37</v>
      </c>
      <c r="AL36" t="s">
        <v>226</v>
      </c>
      <c r="AM36" t="s">
        <v>275</v>
      </c>
      <c r="AN36" t="s">
        <v>215</v>
      </c>
      <c r="AO36" t="s">
        <v>280</v>
      </c>
      <c r="AP36" t="s">
        <v>217</v>
      </c>
      <c r="AQ36" t="s">
        <v>227</v>
      </c>
      <c r="AR36" t="s">
        <v>219</v>
      </c>
      <c r="AS36" t="s">
        <v>219</v>
      </c>
      <c r="AT36" t="s">
        <v>221</v>
      </c>
      <c r="AU36" t="s">
        <v>211</v>
      </c>
      <c r="AV36">
        <v>338</v>
      </c>
      <c r="AW36">
        <v>296</v>
      </c>
      <c r="AX36">
        <v>129</v>
      </c>
      <c r="AY36">
        <f t="shared" si="0"/>
        <v>254.33333333333334</v>
      </c>
      <c r="AZ36" t="s">
        <v>211</v>
      </c>
      <c r="BA36">
        <v>2.92</v>
      </c>
      <c r="BB36" t="s">
        <v>221</v>
      </c>
      <c r="BC36" t="s">
        <v>221</v>
      </c>
      <c r="BD36" t="s">
        <v>221</v>
      </c>
      <c r="BE36" t="s">
        <v>276</v>
      </c>
      <c r="BF36" t="s">
        <v>221</v>
      </c>
      <c r="BG36" t="s">
        <v>221</v>
      </c>
      <c r="BH36" t="s">
        <v>223</v>
      </c>
      <c r="BI36" t="s">
        <v>223</v>
      </c>
      <c r="BJ36" t="s">
        <v>223</v>
      </c>
      <c r="BK36" t="s">
        <v>221</v>
      </c>
      <c r="BL36">
        <v>2</v>
      </c>
      <c r="BM36">
        <v>1</v>
      </c>
      <c r="BN36">
        <v>3</v>
      </c>
      <c r="BO36">
        <v>2</v>
      </c>
      <c r="BP36">
        <v>2</v>
      </c>
      <c r="BQ36">
        <v>2</v>
      </c>
      <c r="BR36">
        <v>2</v>
      </c>
      <c r="BS36">
        <v>1</v>
      </c>
      <c r="BT36">
        <v>3</v>
      </c>
      <c r="BU36">
        <v>2</v>
      </c>
      <c r="BV36">
        <v>5</v>
      </c>
      <c r="BW36">
        <v>1</v>
      </c>
      <c r="BX36">
        <v>1</v>
      </c>
      <c r="BY36">
        <v>1</v>
      </c>
      <c r="BZ36">
        <v>1</v>
      </c>
      <c r="CA36">
        <v>1</v>
      </c>
      <c r="CB36">
        <v>3</v>
      </c>
      <c r="CC36">
        <v>4</v>
      </c>
      <c r="CD36">
        <v>1</v>
      </c>
      <c r="CE36">
        <v>1</v>
      </c>
      <c r="CF36">
        <v>5</v>
      </c>
      <c r="CG36">
        <v>1</v>
      </c>
      <c r="CH36">
        <v>2</v>
      </c>
      <c r="CI36">
        <v>6</v>
      </c>
      <c r="CJ36">
        <v>3</v>
      </c>
      <c r="CK36">
        <v>3</v>
      </c>
      <c r="CL36">
        <v>3</v>
      </c>
      <c r="CM36">
        <v>1</v>
      </c>
      <c r="CN36"/>
      <c r="CO36">
        <v>3</v>
      </c>
      <c r="CP36">
        <v>3</v>
      </c>
      <c r="CQ36">
        <v>6</v>
      </c>
      <c r="CR36">
        <v>1</v>
      </c>
      <c r="CS36">
        <v>3</v>
      </c>
      <c r="CT36">
        <v>3</v>
      </c>
      <c r="CU36">
        <v>6</v>
      </c>
      <c r="CV36">
        <v>3</v>
      </c>
      <c r="CW36">
        <v>1</v>
      </c>
      <c r="CX36" t="s">
        <v>237</v>
      </c>
      <c r="CY36">
        <v>5</v>
      </c>
      <c r="CZ36">
        <v>2</v>
      </c>
      <c r="DA36">
        <v>3</v>
      </c>
      <c r="DB36">
        <v>2</v>
      </c>
      <c r="DC36">
        <v>4</v>
      </c>
      <c r="DD36">
        <v>3</v>
      </c>
      <c r="DE36">
        <v>4</v>
      </c>
      <c r="DF36">
        <v>3</v>
      </c>
      <c r="DG36">
        <v>5</v>
      </c>
      <c r="DH36" t="s">
        <v>223</v>
      </c>
      <c r="DI36" t="s">
        <v>223</v>
      </c>
      <c r="DJ36"/>
      <c r="DK36"/>
      <c r="DL36"/>
      <c r="DM36"/>
      <c r="DN36"/>
      <c r="DO36"/>
      <c r="DP36"/>
      <c r="DQ36"/>
      <c r="DR36"/>
      <c r="DS36"/>
    </row>
    <row r="37" spans="1:123" s="38" customFormat="1">
      <c r="A37" s="49">
        <v>43662.589236111111</v>
      </c>
      <c r="B37" s="48" t="s">
        <v>57</v>
      </c>
      <c r="C37" s="36">
        <f t="shared" si="1"/>
        <v>36</v>
      </c>
      <c r="D37" s="73" t="s">
        <v>139</v>
      </c>
      <c r="E37" s="48" t="s">
        <v>66</v>
      </c>
      <c r="F37" s="69">
        <v>11</v>
      </c>
      <c r="G37" s="48">
        <v>25.6</v>
      </c>
      <c r="H37" s="48">
        <v>58</v>
      </c>
      <c r="I37" s="48">
        <v>530.23809523809518</v>
      </c>
      <c r="J37" s="48">
        <v>0.77619047619047621</v>
      </c>
      <c r="K37" s="48">
        <v>40</v>
      </c>
      <c r="L37" s="47">
        <v>0.59000000000000008</v>
      </c>
      <c r="M37" s="76">
        <v>25.508500000000002</v>
      </c>
      <c r="N37" s="48">
        <v>0.03</v>
      </c>
      <c r="O37" s="48">
        <v>50</v>
      </c>
      <c r="P37" s="47">
        <v>1.8</v>
      </c>
      <c r="Q37" s="37"/>
      <c r="R37" s="47">
        <v>583</v>
      </c>
      <c r="S37" s="47">
        <v>610</v>
      </c>
      <c r="T37" s="47">
        <v>415</v>
      </c>
      <c r="U37" s="37"/>
      <c r="V37" s="39">
        <f t="shared" si="2"/>
        <v>596.5</v>
      </c>
      <c r="W37" s="37"/>
      <c r="X37" s="47">
        <v>3.3</v>
      </c>
      <c r="Y37" s="47">
        <v>0</v>
      </c>
      <c r="Z37" s="47">
        <v>0</v>
      </c>
      <c r="AA37" s="47">
        <v>0</v>
      </c>
      <c r="AB37" s="47">
        <v>3.3</v>
      </c>
      <c r="AC37" s="47"/>
      <c r="AD37" s="47">
        <v>6</v>
      </c>
      <c r="AE37" s="37"/>
      <c r="AF37" s="89" t="s">
        <v>225</v>
      </c>
      <c r="AG37" t="s">
        <v>211</v>
      </c>
      <c r="AH37" t="s">
        <v>212</v>
      </c>
      <c r="AI37" t="s">
        <v>212</v>
      </c>
      <c r="AJ37" t="s">
        <v>212</v>
      </c>
      <c r="AK37">
        <v>0.59000000000000008</v>
      </c>
      <c r="AL37" t="s">
        <v>226</v>
      </c>
      <c r="AM37" t="s">
        <v>219</v>
      </c>
      <c r="AN37" t="s">
        <v>215</v>
      </c>
      <c r="AO37" t="s">
        <v>267</v>
      </c>
      <c r="AP37" t="s">
        <v>217</v>
      </c>
      <c r="AQ37" t="s">
        <v>227</v>
      </c>
      <c r="AR37" t="s">
        <v>219</v>
      </c>
      <c r="AS37" t="s">
        <v>219</v>
      </c>
      <c r="AT37" t="s">
        <v>227</v>
      </c>
      <c r="AU37" t="s">
        <v>211</v>
      </c>
      <c r="AV37">
        <v>583</v>
      </c>
      <c r="AW37">
        <v>610</v>
      </c>
      <c r="AX37">
        <v>415</v>
      </c>
      <c r="AY37">
        <f t="shared" si="0"/>
        <v>536</v>
      </c>
      <c r="AZ37" t="s">
        <v>211</v>
      </c>
      <c r="BA37">
        <v>2.59</v>
      </c>
      <c r="BB37" t="s">
        <v>221</v>
      </c>
      <c r="BC37" t="s">
        <v>211</v>
      </c>
      <c r="BD37">
        <v>1.31</v>
      </c>
      <c r="BE37" t="s">
        <v>230</v>
      </c>
      <c r="BF37" t="s">
        <v>221</v>
      </c>
      <c r="BG37" t="s">
        <v>221</v>
      </c>
      <c r="BH37">
        <v>1.52</v>
      </c>
      <c r="BI37">
        <v>0.6</v>
      </c>
      <c r="BJ37">
        <v>0.67</v>
      </c>
      <c r="BK37">
        <v>1.8</v>
      </c>
      <c r="BL37">
        <v>2</v>
      </c>
      <c r="BM37">
        <v>3</v>
      </c>
      <c r="BN37">
        <v>4</v>
      </c>
      <c r="BO37">
        <v>2</v>
      </c>
      <c r="BP37">
        <v>2</v>
      </c>
      <c r="BQ37">
        <v>4</v>
      </c>
      <c r="BR37">
        <v>6</v>
      </c>
      <c r="BS37">
        <v>2</v>
      </c>
      <c r="BT37">
        <v>3</v>
      </c>
      <c r="BU37">
        <v>2</v>
      </c>
      <c r="BV37">
        <v>3</v>
      </c>
      <c r="BW37">
        <v>1</v>
      </c>
      <c r="BX37">
        <v>1</v>
      </c>
      <c r="BY37">
        <v>2</v>
      </c>
      <c r="BZ37">
        <v>1</v>
      </c>
      <c r="CA37">
        <v>7</v>
      </c>
      <c r="CB37">
        <v>3</v>
      </c>
      <c r="CC37">
        <v>3</v>
      </c>
      <c r="CD37">
        <v>1</v>
      </c>
      <c r="CE37">
        <v>2</v>
      </c>
      <c r="CF37">
        <v>3</v>
      </c>
      <c r="CG37">
        <v>2</v>
      </c>
      <c r="CH37">
        <v>3</v>
      </c>
      <c r="CI37">
        <v>2</v>
      </c>
      <c r="CJ37">
        <v>1</v>
      </c>
      <c r="CK37">
        <v>4</v>
      </c>
      <c r="CL37">
        <v>2</v>
      </c>
      <c r="CM37">
        <v>1</v>
      </c>
      <c r="CN37" t="s">
        <v>223</v>
      </c>
      <c r="CO37">
        <v>1</v>
      </c>
      <c r="CP37">
        <v>5</v>
      </c>
      <c r="CQ37">
        <v>1</v>
      </c>
      <c r="CR37">
        <v>1</v>
      </c>
      <c r="CS37">
        <v>2</v>
      </c>
      <c r="CT37">
        <v>4</v>
      </c>
      <c r="CU37">
        <v>2</v>
      </c>
      <c r="CV37">
        <v>1</v>
      </c>
      <c r="CW37">
        <v>3</v>
      </c>
      <c r="CX37" t="s">
        <v>257</v>
      </c>
      <c r="CY37">
        <v>4</v>
      </c>
      <c r="CZ37">
        <v>1</v>
      </c>
      <c r="DA37">
        <v>3</v>
      </c>
      <c r="DB37">
        <v>1</v>
      </c>
      <c r="DC37">
        <v>2</v>
      </c>
      <c r="DD37">
        <v>3</v>
      </c>
      <c r="DE37">
        <v>4</v>
      </c>
      <c r="DF37">
        <v>2</v>
      </c>
      <c r="DG37">
        <v>5</v>
      </c>
      <c r="DH37" t="s">
        <v>223</v>
      </c>
      <c r="DI37" t="s">
        <v>223</v>
      </c>
      <c r="DJ37"/>
      <c r="DK37"/>
      <c r="DL37"/>
      <c r="DM37"/>
      <c r="DN37"/>
      <c r="DO37"/>
      <c r="DP37"/>
      <c r="DQ37"/>
      <c r="DR37"/>
      <c r="DS37"/>
    </row>
    <row r="38" spans="1:123" s="38" customFormat="1">
      <c r="A38" s="46">
        <v>43664.444861111115</v>
      </c>
      <c r="B38" s="48" t="s">
        <v>58</v>
      </c>
      <c r="C38" s="36">
        <f t="shared" si="1"/>
        <v>37</v>
      </c>
      <c r="D38" s="73" t="s">
        <v>139</v>
      </c>
      <c r="E38" s="48" t="s">
        <v>66</v>
      </c>
      <c r="F38" s="69">
        <v>11</v>
      </c>
      <c r="G38" s="48">
        <v>20.6</v>
      </c>
      <c r="H38" s="48">
        <v>50</v>
      </c>
      <c r="I38" s="48">
        <v>555</v>
      </c>
      <c r="J38" s="48">
        <v>0.9</v>
      </c>
      <c r="K38" s="48">
        <v>37</v>
      </c>
      <c r="L38" s="47">
        <v>0.6</v>
      </c>
      <c r="M38" s="76">
        <v>22.257100000000001</v>
      </c>
      <c r="N38" s="48">
        <v>0.04</v>
      </c>
      <c r="O38" s="48">
        <v>44.6</v>
      </c>
      <c r="P38" s="47">
        <v>1.77</v>
      </c>
      <c r="Q38" s="37"/>
      <c r="R38" s="47">
        <v>600</v>
      </c>
      <c r="S38" s="47">
        <v>810</v>
      </c>
      <c r="T38" s="47">
        <v>240</v>
      </c>
      <c r="U38" s="37"/>
      <c r="V38" s="39">
        <f t="shared" si="2"/>
        <v>705</v>
      </c>
      <c r="W38" s="37"/>
      <c r="X38" s="47">
        <v>1.4</v>
      </c>
      <c r="Y38" s="47">
        <v>0</v>
      </c>
      <c r="Z38" s="47">
        <v>0</v>
      </c>
      <c r="AA38" s="47">
        <v>0</v>
      </c>
      <c r="AB38" s="47">
        <v>1.4</v>
      </c>
      <c r="AC38" s="47"/>
      <c r="AD38" s="47">
        <v>3</v>
      </c>
      <c r="AE38" s="37"/>
      <c r="AF38" s="89" t="s">
        <v>251</v>
      </c>
      <c r="AG38" t="s">
        <v>211</v>
      </c>
      <c r="AH38" t="s">
        <v>212</v>
      </c>
      <c r="AI38" t="s">
        <v>212</v>
      </c>
      <c r="AJ38" t="s">
        <v>211</v>
      </c>
      <c r="AK38">
        <v>0.6</v>
      </c>
      <c r="AL38" t="s">
        <v>281</v>
      </c>
      <c r="AM38" t="s">
        <v>282</v>
      </c>
      <c r="AN38" t="s">
        <v>215</v>
      </c>
      <c r="AO38" t="s">
        <v>283</v>
      </c>
      <c r="AP38" t="s">
        <v>217</v>
      </c>
      <c r="AQ38" t="s">
        <v>247</v>
      </c>
      <c r="AR38" t="s">
        <v>284</v>
      </c>
      <c r="AS38" t="s">
        <v>214</v>
      </c>
      <c r="AT38" t="s">
        <v>214</v>
      </c>
      <c r="AU38" t="s">
        <v>211</v>
      </c>
      <c r="AV38">
        <v>600</v>
      </c>
      <c r="AW38">
        <v>810</v>
      </c>
      <c r="AX38">
        <v>240</v>
      </c>
      <c r="AY38">
        <f t="shared" si="0"/>
        <v>550</v>
      </c>
      <c r="AZ38" t="s">
        <v>211</v>
      </c>
      <c r="BA38">
        <v>2.7120000000000002</v>
      </c>
      <c r="BB38">
        <v>3</v>
      </c>
      <c r="BC38" t="s">
        <v>211</v>
      </c>
      <c r="BD38">
        <v>3.3</v>
      </c>
      <c r="BE38" t="s">
        <v>16</v>
      </c>
      <c r="BF38" t="s">
        <v>221</v>
      </c>
      <c r="BG38" t="s">
        <v>221</v>
      </c>
      <c r="BH38">
        <v>3.5</v>
      </c>
      <c r="BI38">
        <v>0.75</v>
      </c>
      <c r="BJ38">
        <v>0.74</v>
      </c>
      <c r="BK38">
        <v>1.77</v>
      </c>
      <c r="BL38">
        <v>1</v>
      </c>
      <c r="BM38">
        <v>2</v>
      </c>
      <c r="BN38">
        <v>3</v>
      </c>
      <c r="BO38">
        <v>3</v>
      </c>
      <c r="BP38">
        <v>3</v>
      </c>
      <c r="BQ38">
        <v>2</v>
      </c>
      <c r="BR38">
        <v>3</v>
      </c>
      <c r="BS38">
        <v>1</v>
      </c>
      <c r="BT38">
        <v>3</v>
      </c>
      <c r="BU38">
        <v>5</v>
      </c>
      <c r="BV38">
        <v>3</v>
      </c>
      <c r="BW38">
        <v>5</v>
      </c>
      <c r="BX38">
        <v>3</v>
      </c>
      <c r="BY38">
        <v>2</v>
      </c>
      <c r="BZ38">
        <v>2</v>
      </c>
      <c r="CA38">
        <v>5</v>
      </c>
      <c r="CB38">
        <v>5</v>
      </c>
      <c r="CC38">
        <v>2</v>
      </c>
      <c r="CD38">
        <v>1</v>
      </c>
      <c r="CE38">
        <v>1</v>
      </c>
      <c r="CF38">
        <v>3</v>
      </c>
      <c r="CG38">
        <v>1</v>
      </c>
      <c r="CH38">
        <v>3</v>
      </c>
      <c r="CI38">
        <v>6</v>
      </c>
      <c r="CJ38">
        <v>5</v>
      </c>
      <c r="CK38">
        <v>5</v>
      </c>
      <c r="CL38">
        <v>5</v>
      </c>
      <c r="CM38">
        <v>1</v>
      </c>
      <c r="CN38" t="s">
        <v>223</v>
      </c>
      <c r="CO38">
        <v>2</v>
      </c>
      <c r="CP38">
        <v>6</v>
      </c>
      <c r="CQ38">
        <v>6</v>
      </c>
      <c r="CR38">
        <v>1</v>
      </c>
      <c r="CS38">
        <v>2</v>
      </c>
      <c r="CT38">
        <v>5</v>
      </c>
      <c r="CU38">
        <v>6</v>
      </c>
      <c r="CV38">
        <v>2</v>
      </c>
      <c r="CW38">
        <v>3</v>
      </c>
      <c r="CX38" t="s">
        <v>237</v>
      </c>
      <c r="CY38">
        <v>1</v>
      </c>
      <c r="CZ38">
        <v>1</v>
      </c>
      <c r="DA38">
        <v>3</v>
      </c>
      <c r="DB38">
        <v>2</v>
      </c>
      <c r="DC38">
        <v>4</v>
      </c>
      <c r="DD38">
        <v>4</v>
      </c>
      <c r="DE38">
        <v>4</v>
      </c>
      <c r="DF38">
        <v>2</v>
      </c>
      <c r="DG38">
        <v>4</v>
      </c>
      <c r="DH38" t="s">
        <v>285</v>
      </c>
      <c r="DI38" t="s">
        <v>223</v>
      </c>
      <c r="DJ38"/>
      <c r="DK38"/>
      <c r="DL38"/>
      <c r="DM38"/>
      <c r="DN38"/>
      <c r="DO38"/>
      <c r="DP38"/>
      <c r="DQ38"/>
      <c r="DR38"/>
      <c r="DS38"/>
    </row>
    <row r="39" spans="1:123" s="38" customFormat="1">
      <c r="A39" s="46">
        <v>43664.458333333336</v>
      </c>
      <c r="B39" s="48" t="s">
        <v>59</v>
      </c>
      <c r="C39" s="36">
        <f t="shared" si="1"/>
        <v>38</v>
      </c>
      <c r="D39" s="73" t="s">
        <v>139</v>
      </c>
      <c r="E39" s="48" t="s">
        <v>66</v>
      </c>
      <c r="F39" s="69">
        <v>11</v>
      </c>
      <c r="G39" s="48">
        <v>23</v>
      </c>
      <c r="H39" s="48">
        <v>49.2</v>
      </c>
      <c r="I39" s="48">
        <v>643</v>
      </c>
      <c r="J39" s="48">
        <v>0.9</v>
      </c>
      <c r="K39" s="48">
        <v>61</v>
      </c>
      <c r="L39" s="47">
        <v>0.42000000000000004</v>
      </c>
      <c r="M39" s="76">
        <v>23.0138</v>
      </c>
      <c r="N39" s="48">
        <v>0.01</v>
      </c>
      <c r="O39" s="48">
        <v>41.2</v>
      </c>
      <c r="P39" s="47">
        <v>1.77</v>
      </c>
      <c r="Q39" s="37"/>
      <c r="R39" s="47">
        <v>420</v>
      </c>
      <c r="S39" s="47">
        <v>636</v>
      </c>
      <c r="T39" s="47">
        <v>293</v>
      </c>
      <c r="U39" s="37"/>
      <c r="V39" s="39">
        <f t="shared" si="2"/>
        <v>528</v>
      </c>
      <c r="W39" s="37"/>
      <c r="X39" s="47">
        <v>1</v>
      </c>
      <c r="Y39" s="47">
        <v>0.7</v>
      </c>
      <c r="Z39" s="47">
        <v>1.5</v>
      </c>
      <c r="AA39" s="47">
        <v>2.2000000000000002</v>
      </c>
      <c r="AB39" s="47">
        <v>3.2</v>
      </c>
      <c r="AC39" s="47"/>
      <c r="AD39" s="47">
        <v>4</v>
      </c>
      <c r="AE39" s="37"/>
      <c r="AF39" s="89" t="s">
        <v>251</v>
      </c>
      <c r="AG39" t="s">
        <v>211</v>
      </c>
      <c r="AH39" t="s">
        <v>212</v>
      </c>
      <c r="AI39" t="s">
        <v>212</v>
      </c>
      <c r="AJ39" t="s">
        <v>211</v>
      </c>
      <c r="AK39">
        <v>0.42000000000000004</v>
      </c>
      <c r="AL39" t="s">
        <v>281</v>
      </c>
      <c r="AM39" t="s">
        <v>282</v>
      </c>
      <c r="AN39" t="s">
        <v>215</v>
      </c>
      <c r="AO39" t="s">
        <v>286</v>
      </c>
      <c r="AP39" t="s">
        <v>217</v>
      </c>
      <c r="AQ39" t="s">
        <v>247</v>
      </c>
      <c r="AR39" t="s">
        <v>284</v>
      </c>
      <c r="AS39" t="s">
        <v>214</v>
      </c>
      <c r="AT39" t="s">
        <v>214</v>
      </c>
      <c r="AU39" t="s">
        <v>211</v>
      </c>
      <c r="AV39">
        <v>420</v>
      </c>
      <c r="AW39">
        <v>636</v>
      </c>
      <c r="AX39">
        <v>293</v>
      </c>
      <c r="AY39">
        <f t="shared" si="0"/>
        <v>449.66666666666669</v>
      </c>
      <c r="AZ39" t="s">
        <v>211</v>
      </c>
      <c r="BA39">
        <v>2.7120000000000002</v>
      </c>
      <c r="BB39">
        <v>3.3</v>
      </c>
      <c r="BC39" t="s">
        <v>211</v>
      </c>
      <c r="BD39">
        <v>3.5</v>
      </c>
      <c r="BE39" t="s">
        <v>250</v>
      </c>
      <c r="BF39" t="s">
        <v>221</v>
      </c>
      <c r="BG39" t="s">
        <v>221</v>
      </c>
      <c r="BH39">
        <v>3.5</v>
      </c>
      <c r="BI39">
        <v>0.75</v>
      </c>
      <c r="BJ39">
        <v>0.74</v>
      </c>
      <c r="BK39">
        <v>1.77</v>
      </c>
      <c r="BL39">
        <v>1</v>
      </c>
      <c r="BM39">
        <v>3</v>
      </c>
      <c r="BN39">
        <v>4</v>
      </c>
      <c r="BO39">
        <v>2</v>
      </c>
      <c r="BP39">
        <v>2</v>
      </c>
      <c r="BQ39">
        <v>4</v>
      </c>
      <c r="BR39">
        <v>4</v>
      </c>
      <c r="BS39">
        <v>2</v>
      </c>
      <c r="BT39">
        <v>2</v>
      </c>
      <c r="BU39">
        <v>5</v>
      </c>
      <c r="BV39">
        <v>4</v>
      </c>
      <c r="BW39">
        <v>6</v>
      </c>
      <c r="BX39">
        <v>3</v>
      </c>
      <c r="BY39">
        <v>3</v>
      </c>
      <c r="BZ39">
        <v>2</v>
      </c>
      <c r="CA39">
        <v>6</v>
      </c>
      <c r="CB39">
        <v>3</v>
      </c>
      <c r="CC39">
        <v>4</v>
      </c>
      <c r="CD39">
        <v>1</v>
      </c>
      <c r="CE39">
        <v>2</v>
      </c>
      <c r="CF39">
        <v>2</v>
      </c>
      <c r="CG39">
        <v>2</v>
      </c>
      <c r="CH39">
        <v>2</v>
      </c>
      <c r="CI39">
        <v>4</v>
      </c>
      <c r="CJ39">
        <v>5</v>
      </c>
      <c r="CK39">
        <v>4</v>
      </c>
      <c r="CL39">
        <v>5</v>
      </c>
      <c r="CM39">
        <v>1</v>
      </c>
      <c r="CN39" t="s">
        <v>223</v>
      </c>
      <c r="CO39">
        <v>2</v>
      </c>
      <c r="CP39">
        <v>6</v>
      </c>
      <c r="CQ39">
        <v>5</v>
      </c>
      <c r="CR39">
        <v>1</v>
      </c>
      <c r="CS39">
        <v>1</v>
      </c>
      <c r="CT39">
        <v>4</v>
      </c>
      <c r="CU39">
        <v>4</v>
      </c>
      <c r="CV39">
        <v>2</v>
      </c>
      <c r="CW39">
        <v>1</v>
      </c>
      <c r="CX39" t="s">
        <v>15</v>
      </c>
      <c r="CY39">
        <v>4</v>
      </c>
      <c r="CZ39">
        <v>1</v>
      </c>
      <c r="DA39">
        <v>3</v>
      </c>
      <c r="DB39">
        <v>1</v>
      </c>
      <c r="DC39">
        <v>3</v>
      </c>
      <c r="DD39">
        <v>3</v>
      </c>
      <c r="DE39">
        <v>4</v>
      </c>
      <c r="DF39">
        <v>4</v>
      </c>
      <c r="DG39">
        <v>4</v>
      </c>
      <c r="DH39" t="s">
        <v>223</v>
      </c>
      <c r="DI39" t="s">
        <v>223</v>
      </c>
      <c r="DJ39"/>
      <c r="DK39"/>
      <c r="DL39"/>
      <c r="DM39"/>
      <c r="DN39"/>
      <c r="DO39"/>
      <c r="DP39"/>
      <c r="DQ39"/>
      <c r="DR39"/>
      <c r="DS39"/>
    </row>
    <row r="40" spans="1:123" s="38" customFormat="1">
      <c r="A40" s="46">
        <v>43664.470914351848</v>
      </c>
      <c r="B40" s="48" t="s">
        <v>60</v>
      </c>
      <c r="C40" s="36">
        <f t="shared" si="1"/>
        <v>39</v>
      </c>
      <c r="D40" s="73" t="s">
        <v>139</v>
      </c>
      <c r="E40" s="48" t="s">
        <v>66</v>
      </c>
      <c r="F40" s="69">
        <v>11</v>
      </c>
      <c r="G40" s="48">
        <v>23.7</v>
      </c>
      <c r="H40" s="48">
        <v>48.2</v>
      </c>
      <c r="I40" s="48">
        <v>571</v>
      </c>
      <c r="J40" s="48">
        <v>0.8</v>
      </c>
      <c r="K40" s="48">
        <v>40</v>
      </c>
      <c r="L40" s="47">
        <v>0.6</v>
      </c>
      <c r="M40" s="76">
        <v>21.963999999999999</v>
      </c>
      <c r="N40" s="48">
        <v>0.03</v>
      </c>
      <c r="O40" s="48">
        <v>34.5</v>
      </c>
      <c r="P40" s="47">
        <v>0</v>
      </c>
      <c r="Q40" s="37"/>
      <c r="R40" s="47">
        <v>318</v>
      </c>
      <c r="S40" s="47">
        <v>361</v>
      </c>
      <c r="T40" s="47">
        <v>170</v>
      </c>
      <c r="U40" s="37"/>
      <c r="V40" s="39">
        <f t="shared" si="2"/>
        <v>339.5</v>
      </c>
      <c r="W40" s="37"/>
      <c r="X40" s="47">
        <v>1.8</v>
      </c>
      <c r="Y40" s="47">
        <v>0</v>
      </c>
      <c r="Z40" s="47">
        <v>9.6999999999999993</v>
      </c>
      <c r="AA40" s="47">
        <v>9.6999999999999993</v>
      </c>
      <c r="AB40" s="47">
        <v>11.5</v>
      </c>
      <c r="AC40" s="47"/>
      <c r="AD40" s="47">
        <v>5</v>
      </c>
      <c r="AE40" s="37"/>
      <c r="AF40" s="89" t="s">
        <v>210</v>
      </c>
      <c r="AG40" t="s">
        <v>211</v>
      </c>
      <c r="AH40" t="s">
        <v>212</v>
      </c>
      <c r="AI40" t="s">
        <v>212</v>
      </c>
      <c r="AJ40" t="s">
        <v>212</v>
      </c>
      <c r="AK40">
        <v>0.6</v>
      </c>
      <c r="AL40" t="s">
        <v>281</v>
      </c>
      <c r="AM40" t="s">
        <v>282</v>
      </c>
      <c r="AN40" t="s">
        <v>215</v>
      </c>
      <c r="AO40" t="s">
        <v>286</v>
      </c>
      <c r="AP40" t="s">
        <v>217</v>
      </c>
      <c r="AQ40" t="s">
        <v>247</v>
      </c>
      <c r="AR40" t="s">
        <v>214</v>
      </c>
      <c r="AS40" t="s">
        <v>214</v>
      </c>
      <c r="AT40" t="s">
        <v>271</v>
      </c>
      <c r="AU40" t="s">
        <v>211</v>
      </c>
      <c r="AV40">
        <v>318</v>
      </c>
      <c r="AW40">
        <v>361</v>
      </c>
      <c r="AX40">
        <v>170</v>
      </c>
      <c r="AY40">
        <f t="shared" si="0"/>
        <v>283</v>
      </c>
      <c r="AZ40" t="s">
        <v>211</v>
      </c>
      <c r="BA40">
        <v>2.9</v>
      </c>
      <c r="BB40" t="s">
        <v>221</v>
      </c>
      <c r="BC40" t="s">
        <v>211</v>
      </c>
      <c r="BD40">
        <v>0</v>
      </c>
      <c r="BE40" t="s">
        <v>250</v>
      </c>
      <c r="BF40" t="s">
        <v>221</v>
      </c>
      <c r="BG40" t="s">
        <v>221</v>
      </c>
      <c r="BH40">
        <v>2.75</v>
      </c>
      <c r="BI40">
        <v>0.76</v>
      </c>
      <c r="BJ40">
        <v>0.75</v>
      </c>
      <c r="BK40" t="s">
        <v>221</v>
      </c>
      <c r="BL40">
        <v>1</v>
      </c>
      <c r="BM40">
        <v>4</v>
      </c>
      <c r="BN40">
        <v>3</v>
      </c>
      <c r="BO40">
        <v>3</v>
      </c>
      <c r="BP40">
        <v>2</v>
      </c>
      <c r="BQ40">
        <v>5</v>
      </c>
      <c r="BR40">
        <v>5</v>
      </c>
      <c r="BS40">
        <v>2</v>
      </c>
      <c r="BT40">
        <v>2</v>
      </c>
      <c r="BU40">
        <v>5</v>
      </c>
      <c r="BV40">
        <v>3</v>
      </c>
      <c r="BW40">
        <v>5</v>
      </c>
      <c r="BX40">
        <v>3</v>
      </c>
      <c r="BY40">
        <v>2</v>
      </c>
      <c r="BZ40">
        <v>2</v>
      </c>
      <c r="CA40">
        <v>3</v>
      </c>
      <c r="CB40">
        <v>3</v>
      </c>
      <c r="CC40">
        <v>3</v>
      </c>
      <c r="CD40">
        <v>2</v>
      </c>
      <c r="CE40">
        <v>1</v>
      </c>
      <c r="CF40">
        <v>4</v>
      </c>
      <c r="CG40">
        <v>1</v>
      </c>
      <c r="CH40">
        <v>3</v>
      </c>
      <c r="CI40">
        <v>5</v>
      </c>
      <c r="CJ40">
        <v>4</v>
      </c>
      <c r="CK40">
        <v>2</v>
      </c>
      <c r="CL40">
        <v>4</v>
      </c>
      <c r="CM40">
        <v>3</v>
      </c>
      <c r="CN40" t="s">
        <v>223</v>
      </c>
      <c r="CO40">
        <v>2</v>
      </c>
      <c r="CP40">
        <v>5</v>
      </c>
      <c r="CQ40">
        <v>5</v>
      </c>
      <c r="CR40">
        <v>1</v>
      </c>
      <c r="CS40">
        <v>2</v>
      </c>
      <c r="CT40">
        <v>5</v>
      </c>
      <c r="CU40">
        <v>5</v>
      </c>
      <c r="CV40">
        <v>2</v>
      </c>
      <c r="CW40">
        <v>3</v>
      </c>
      <c r="CX40" t="s">
        <v>237</v>
      </c>
      <c r="CY40">
        <v>4</v>
      </c>
      <c r="CZ40">
        <v>1</v>
      </c>
      <c r="DA40">
        <v>3</v>
      </c>
      <c r="DB40">
        <v>2</v>
      </c>
      <c r="DC40">
        <v>4</v>
      </c>
      <c r="DD40">
        <v>3</v>
      </c>
      <c r="DE40">
        <v>4</v>
      </c>
      <c r="DF40">
        <v>5</v>
      </c>
      <c r="DG40">
        <v>1</v>
      </c>
      <c r="DH40" t="s">
        <v>223</v>
      </c>
      <c r="DI40" t="s">
        <v>223</v>
      </c>
      <c r="DJ40"/>
      <c r="DK40"/>
      <c r="DL40"/>
      <c r="DM40"/>
      <c r="DN40"/>
      <c r="DO40"/>
      <c r="DP40"/>
      <c r="DQ40"/>
      <c r="DR40"/>
      <c r="DS40"/>
    </row>
    <row r="41" spans="1:123" s="38" customFormat="1">
      <c r="A41" s="46">
        <v>43664.584513888891</v>
      </c>
      <c r="B41" s="48" t="s">
        <v>61</v>
      </c>
      <c r="C41" s="36">
        <f t="shared" si="1"/>
        <v>40</v>
      </c>
      <c r="D41" s="73" t="s">
        <v>139</v>
      </c>
      <c r="E41" s="48" t="s">
        <v>66</v>
      </c>
      <c r="F41" s="69">
        <v>11</v>
      </c>
      <c r="G41" s="48">
        <v>25.1</v>
      </c>
      <c r="H41" s="48">
        <v>58.5</v>
      </c>
      <c r="I41" s="48">
        <v>592</v>
      </c>
      <c r="J41" s="48">
        <v>0.8</v>
      </c>
      <c r="K41" s="48">
        <v>40</v>
      </c>
      <c r="L41" s="47">
        <v>0.53</v>
      </c>
      <c r="M41" s="76">
        <v>24.628299999999999</v>
      </c>
      <c r="N41" s="48">
        <v>0.05</v>
      </c>
      <c r="O41" s="48">
        <v>46.3</v>
      </c>
      <c r="P41" s="47">
        <v>0</v>
      </c>
      <c r="Q41" s="37"/>
      <c r="R41" s="47">
        <v>283</v>
      </c>
      <c r="S41" s="47">
        <v>329</v>
      </c>
      <c r="T41" s="47">
        <v>125</v>
      </c>
      <c r="U41" s="37"/>
      <c r="V41" s="39">
        <f t="shared" si="2"/>
        <v>306</v>
      </c>
      <c r="W41" s="37"/>
      <c r="X41" s="47">
        <v>0</v>
      </c>
      <c r="Y41" s="47">
        <v>0</v>
      </c>
      <c r="Z41" s="47">
        <v>5.2</v>
      </c>
      <c r="AA41" s="47">
        <v>5.2</v>
      </c>
      <c r="AB41" s="47">
        <v>5.2</v>
      </c>
      <c r="AC41" s="47"/>
      <c r="AD41" s="47">
        <v>5</v>
      </c>
      <c r="AE41" s="37"/>
      <c r="AF41" s="89" t="s">
        <v>251</v>
      </c>
      <c r="AG41" t="s">
        <v>211</v>
      </c>
      <c r="AH41" t="s">
        <v>212</v>
      </c>
      <c r="AI41" t="s">
        <v>212</v>
      </c>
      <c r="AJ41" t="s">
        <v>212</v>
      </c>
      <c r="AK41">
        <v>0.53</v>
      </c>
      <c r="AL41" t="s">
        <v>281</v>
      </c>
      <c r="AM41" t="s">
        <v>282</v>
      </c>
      <c r="AN41" t="s">
        <v>215</v>
      </c>
      <c r="AO41" t="s">
        <v>283</v>
      </c>
      <c r="AP41" t="s">
        <v>217</v>
      </c>
      <c r="AQ41" t="s">
        <v>247</v>
      </c>
      <c r="AR41" t="s">
        <v>214</v>
      </c>
      <c r="AS41" t="s">
        <v>214</v>
      </c>
      <c r="AT41" t="s">
        <v>221</v>
      </c>
      <c r="AU41" t="s">
        <v>212</v>
      </c>
      <c r="AV41">
        <v>283</v>
      </c>
      <c r="AW41">
        <v>329</v>
      </c>
      <c r="AX41">
        <v>125</v>
      </c>
      <c r="AY41">
        <f t="shared" si="0"/>
        <v>245.66666666666666</v>
      </c>
      <c r="AZ41" t="s">
        <v>211</v>
      </c>
      <c r="BA41">
        <v>2.9220000000000002</v>
      </c>
      <c r="BB41" t="s">
        <v>221</v>
      </c>
      <c r="BC41" t="s">
        <v>211</v>
      </c>
      <c r="BD41" t="s">
        <v>221</v>
      </c>
      <c r="BE41" t="s">
        <v>221</v>
      </c>
      <c r="BF41" t="s">
        <v>221</v>
      </c>
      <c r="BG41" t="s">
        <v>221</v>
      </c>
      <c r="BH41">
        <v>2.6</v>
      </c>
      <c r="BI41">
        <v>0.6</v>
      </c>
      <c r="BJ41">
        <v>0.73</v>
      </c>
      <c r="BK41" t="s">
        <v>221</v>
      </c>
      <c r="BL41">
        <v>1</v>
      </c>
      <c r="BM41">
        <v>2</v>
      </c>
      <c r="BN41">
        <v>1</v>
      </c>
      <c r="BO41">
        <v>2</v>
      </c>
      <c r="BP41">
        <v>1</v>
      </c>
      <c r="BQ41">
        <v>4</v>
      </c>
      <c r="BR41">
        <v>5</v>
      </c>
      <c r="BS41">
        <v>2</v>
      </c>
      <c r="BT41">
        <v>3</v>
      </c>
      <c r="BU41" t="s">
        <v>223</v>
      </c>
      <c r="BV41">
        <v>3</v>
      </c>
      <c r="BW41" t="s">
        <v>223</v>
      </c>
      <c r="BX41">
        <v>3</v>
      </c>
      <c r="BY41">
        <v>3</v>
      </c>
      <c r="BZ41" t="s">
        <v>223</v>
      </c>
      <c r="CA41">
        <v>4</v>
      </c>
      <c r="CB41">
        <v>3</v>
      </c>
      <c r="CC41">
        <v>4</v>
      </c>
      <c r="CD41">
        <v>2</v>
      </c>
      <c r="CE41">
        <v>1</v>
      </c>
      <c r="CF41">
        <v>3</v>
      </c>
      <c r="CG41">
        <v>2</v>
      </c>
      <c r="CH41">
        <v>2</v>
      </c>
      <c r="CI41">
        <v>6</v>
      </c>
      <c r="CJ41">
        <v>6</v>
      </c>
      <c r="CK41">
        <v>3</v>
      </c>
      <c r="CL41">
        <v>6</v>
      </c>
      <c r="CM41">
        <v>5</v>
      </c>
      <c r="CN41" t="s">
        <v>287</v>
      </c>
      <c r="CO41">
        <v>4</v>
      </c>
      <c r="CP41">
        <v>2</v>
      </c>
      <c r="CQ41">
        <v>7</v>
      </c>
      <c r="CR41">
        <v>2</v>
      </c>
      <c r="CS41">
        <v>3</v>
      </c>
      <c r="CT41">
        <v>2</v>
      </c>
      <c r="CU41">
        <v>6</v>
      </c>
      <c r="CV41">
        <v>2</v>
      </c>
      <c r="CW41">
        <v>2</v>
      </c>
      <c r="CX41" t="s">
        <v>15</v>
      </c>
      <c r="CY41">
        <v>4</v>
      </c>
      <c r="CZ41">
        <v>2</v>
      </c>
      <c r="DA41">
        <v>3</v>
      </c>
      <c r="DB41">
        <v>1</v>
      </c>
      <c r="DC41">
        <v>3</v>
      </c>
      <c r="DD41">
        <v>1</v>
      </c>
      <c r="DE41">
        <v>2</v>
      </c>
      <c r="DF41">
        <v>3</v>
      </c>
      <c r="DG41">
        <v>5</v>
      </c>
      <c r="DH41" t="s">
        <v>223</v>
      </c>
      <c r="DI41" t="s">
        <v>223</v>
      </c>
      <c r="DJ41"/>
      <c r="DK41"/>
      <c r="DL41"/>
      <c r="DM41"/>
      <c r="DN41"/>
      <c r="DO41"/>
      <c r="DP41"/>
      <c r="DQ41"/>
      <c r="DR41"/>
      <c r="DS41"/>
    </row>
    <row r="42" spans="1:123" s="38" customFormat="1">
      <c r="A42" s="46">
        <v>43664.602060185185</v>
      </c>
      <c r="B42" s="48" t="s">
        <v>62</v>
      </c>
      <c r="C42" s="36">
        <f t="shared" si="1"/>
        <v>41</v>
      </c>
      <c r="D42" s="73" t="s">
        <v>139</v>
      </c>
      <c r="E42" s="48" t="s">
        <v>66</v>
      </c>
      <c r="F42" s="69">
        <v>11</v>
      </c>
      <c r="G42" s="48">
        <v>24.5</v>
      </c>
      <c r="H42" s="48">
        <v>46.2</v>
      </c>
      <c r="I42" s="48">
        <v>623</v>
      </c>
      <c r="J42" s="48">
        <v>0.9</v>
      </c>
      <c r="K42" s="48">
        <v>35</v>
      </c>
      <c r="L42" s="47">
        <v>0.54</v>
      </c>
      <c r="M42" s="76">
        <v>23.953099999999999</v>
      </c>
      <c r="N42" s="48">
        <v>0.02</v>
      </c>
      <c r="O42" s="48">
        <v>43.7</v>
      </c>
      <c r="P42" s="47">
        <v>0</v>
      </c>
      <c r="Q42" s="37"/>
      <c r="R42" s="47">
        <v>570</v>
      </c>
      <c r="S42" s="47">
        <v>596</v>
      </c>
      <c r="T42" s="47">
        <v>192</v>
      </c>
      <c r="U42" s="37"/>
      <c r="V42" s="39">
        <f t="shared" si="2"/>
        <v>583</v>
      </c>
      <c r="W42" s="37"/>
      <c r="X42" s="47">
        <v>1.7</v>
      </c>
      <c r="Y42" s="47">
        <v>0.3</v>
      </c>
      <c r="Z42" s="47">
        <v>14.5</v>
      </c>
      <c r="AA42" s="47">
        <v>14.8</v>
      </c>
      <c r="AB42" s="47">
        <v>16.5</v>
      </c>
      <c r="AC42" s="47"/>
      <c r="AD42" s="47">
        <v>4</v>
      </c>
      <c r="AE42" s="37"/>
      <c r="AF42" s="89" t="s">
        <v>210</v>
      </c>
      <c r="AG42" t="s">
        <v>211</v>
      </c>
      <c r="AH42" t="s">
        <v>212</v>
      </c>
      <c r="AI42" t="s">
        <v>212</v>
      </c>
      <c r="AJ42" t="s">
        <v>211</v>
      </c>
      <c r="AK42">
        <v>0.54</v>
      </c>
      <c r="AL42" t="s">
        <v>228</v>
      </c>
      <c r="AM42" t="s">
        <v>264</v>
      </c>
      <c r="AN42" t="s">
        <v>215</v>
      </c>
      <c r="AO42" t="s">
        <v>265</v>
      </c>
      <c r="AP42" t="s">
        <v>217</v>
      </c>
      <c r="AQ42" t="s">
        <v>227</v>
      </c>
      <c r="AR42" t="s">
        <v>219</v>
      </c>
      <c r="AS42" t="s">
        <v>219</v>
      </c>
      <c r="AT42" t="s">
        <v>221</v>
      </c>
      <c r="AU42" t="s">
        <v>211</v>
      </c>
      <c r="AV42">
        <v>570</v>
      </c>
      <c r="AW42">
        <v>596</v>
      </c>
      <c r="AX42">
        <v>192</v>
      </c>
      <c r="AY42">
        <f t="shared" si="0"/>
        <v>452.66666666666669</v>
      </c>
      <c r="AZ42" t="s">
        <v>211</v>
      </c>
      <c r="BA42">
        <v>2.6</v>
      </c>
      <c r="BB42">
        <v>1.2</v>
      </c>
      <c r="BC42" t="s">
        <v>211</v>
      </c>
      <c r="BD42">
        <v>1.2</v>
      </c>
      <c r="BE42" t="s">
        <v>230</v>
      </c>
      <c r="BF42" t="s">
        <v>221</v>
      </c>
      <c r="BG42" t="s">
        <v>221</v>
      </c>
      <c r="BH42">
        <v>1.6</v>
      </c>
      <c r="BI42">
        <v>0.76</v>
      </c>
      <c r="BJ42">
        <v>0.7</v>
      </c>
      <c r="BK42" t="s">
        <v>221</v>
      </c>
      <c r="BL42">
        <v>1</v>
      </c>
      <c r="BM42">
        <v>2</v>
      </c>
      <c r="BN42">
        <v>1</v>
      </c>
      <c r="BO42">
        <v>2</v>
      </c>
      <c r="BP42">
        <v>3</v>
      </c>
      <c r="BQ42">
        <v>4</v>
      </c>
      <c r="BR42">
        <v>4</v>
      </c>
      <c r="BS42">
        <v>3</v>
      </c>
      <c r="BT42">
        <v>2</v>
      </c>
      <c r="BU42" t="s">
        <v>223</v>
      </c>
      <c r="BV42">
        <v>3</v>
      </c>
      <c r="BW42">
        <v>4</v>
      </c>
      <c r="BX42">
        <v>3</v>
      </c>
      <c r="BY42">
        <v>3</v>
      </c>
      <c r="BZ42">
        <v>3</v>
      </c>
      <c r="CA42">
        <v>6</v>
      </c>
      <c r="CB42">
        <v>7</v>
      </c>
      <c r="CC42">
        <v>6</v>
      </c>
      <c r="CD42">
        <v>1</v>
      </c>
      <c r="CE42">
        <v>1</v>
      </c>
      <c r="CF42">
        <v>3</v>
      </c>
      <c r="CG42">
        <v>1</v>
      </c>
      <c r="CH42">
        <v>2</v>
      </c>
      <c r="CI42">
        <v>6</v>
      </c>
      <c r="CJ42">
        <v>5</v>
      </c>
      <c r="CK42">
        <v>3</v>
      </c>
      <c r="CL42">
        <v>5</v>
      </c>
      <c r="CM42">
        <v>1</v>
      </c>
      <c r="CN42" t="s">
        <v>223</v>
      </c>
      <c r="CO42">
        <v>1</v>
      </c>
      <c r="CP42">
        <v>6</v>
      </c>
      <c r="CQ42">
        <v>5</v>
      </c>
      <c r="CR42">
        <v>1</v>
      </c>
      <c r="CS42">
        <v>1</v>
      </c>
      <c r="CT42">
        <v>6</v>
      </c>
      <c r="CU42">
        <v>6</v>
      </c>
      <c r="CV42">
        <v>2</v>
      </c>
      <c r="CW42">
        <v>2</v>
      </c>
      <c r="CX42" t="s">
        <v>15</v>
      </c>
      <c r="CY42">
        <v>6</v>
      </c>
      <c r="CZ42">
        <v>1</v>
      </c>
      <c r="DA42">
        <v>3</v>
      </c>
      <c r="DB42">
        <v>1</v>
      </c>
      <c r="DC42">
        <v>3</v>
      </c>
      <c r="DD42">
        <v>4</v>
      </c>
      <c r="DE42">
        <v>3</v>
      </c>
      <c r="DF42">
        <v>6</v>
      </c>
      <c r="DG42">
        <v>5</v>
      </c>
      <c r="DH42" t="s">
        <v>238</v>
      </c>
      <c r="DI42" t="s">
        <v>223</v>
      </c>
      <c r="DJ42"/>
      <c r="DK42"/>
      <c r="DL42"/>
      <c r="DM42"/>
      <c r="DN42"/>
      <c r="DO42"/>
      <c r="DP42"/>
      <c r="DQ42"/>
      <c r="DR42"/>
      <c r="DS42"/>
    </row>
    <row r="43" spans="1:123" s="38" customFormat="1">
      <c r="A43" s="46">
        <v>43664.626307870371</v>
      </c>
      <c r="B43" s="48" t="s">
        <v>63</v>
      </c>
      <c r="C43" s="36">
        <f t="shared" si="1"/>
        <v>42</v>
      </c>
      <c r="D43" s="73" t="s">
        <v>139</v>
      </c>
      <c r="E43" s="48" t="s">
        <v>66</v>
      </c>
      <c r="F43" s="69">
        <v>11</v>
      </c>
      <c r="G43" s="48">
        <v>24.3</v>
      </c>
      <c r="H43" s="48">
        <v>44.5</v>
      </c>
      <c r="I43" s="48">
        <v>518</v>
      </c>
      <c r="J43" s="48">
        <v>0.9</v>
      </c>
      <c r="K43" s="48">
        <v>28</v>
      </c>
      <c r="L43" s="47">
        <v>0.44000000000000006</v>
      </c>
      <c r="M43" s="76">
        <v>24.787500000000001</v>
      </c>
      <c r="N43" s="48">
        <v>0.1</v>
      </c>
      <c r="O43" s="48">
        <v>41.1</v>
      </c>
      <c r="P43" s="47">
        <v>0</v>
      </c>
      <c r="Q43" s="37"/>
      <c r="R43" s="47">
        <v>425</v>
      </c>
      <c r="S43" s="47">
        <v>344</v>
      </c>
      <c r="T43" s="47">
        <v>314</v>
      </c>
      <c r="U43" s="37"/>
      <c r="V43" s="39">
        <f t="shared" si="2"/>
        <v>384.5</v>
      </c>
      <c r="W43" s="37"/>
      <c r="X43" s="47">
        <v>14.4</v>
      </c>
      <c r="Y43" s="47">
        <v>0</v>
      </c>
      <c r="Z43" s="47">
        <v>3.7</v>
      </c>
      <c r="AA43" s="47">
        <v>3.7</v>
      </c>
      <c r="AB43" s="47">
        <v>18.100000000000001</v>
      </c>
      <c r="AC43" s="47"/>
      <c r="AD43" s="47">
        <v>6</v>
      </c>
      <c r="AE43" s="37"/>
      <c r="AF43" s="89" t="s">
        <v>210</v>
      </c>
      <c r="AG43" t="s">
        <v>211</v>
      </c>
      <c r="AH43" t="s">
        <v>212</v>
      </c>
      <c r="AI43" t="s">
        <v>212</v>
      </c>
      <c r="AJ43" t="s">
        <v>212</v>
      </c>
      <c r="AK43">
        <v>0.44000000000000006</v>
      </c>
      <c r="AL43" t="s">
        <v>228</v>
      </c>
      <c r="AM43" t="s">
        <v>264</v>
      </c>
      <c r="AN43" t="s">
        <v>288</v>
      </c>
      <c r="AO43" t="s">
        <v>289</v>
      </c>
      <c r="AP43" t="s">
        <v>217</v>
      </c>
      <c r="AQ43" t="s">
        <v>290</v>
      </c>
      <c r="AR43" t="s">
        <v>219</v>
      </c>
      <c r="AS43" t="s">
        <v>219</v>
      </c>
      <c r="AT43" t="s">
        <v>221</v>
      </c>
      <c r="AU43" t="s">
        <v>211</v>
      </c>
      <c r="AV43">
        <v>425</v>
      </c>
      <c r="AW43">
        <v>344</v>
      </c>
      <c r="AX43">
        <v>314</v>
      </c>
      <c r="AY43">
        <f t="shared" si="0"/>
        <v>361</v>
      </c>
      <c r="AZ43" t="s">
        <v>211</v>
      </c>
      <c r="BA43">
        <v>2.7</v>
      </c>
      <c r="BB43" t="s">
        <v>221</v>
      </c>
      <c r="BC43" t="s">
        <v>212</v>
      </c>
      <c r="BD43">
        <v>0.2</v>
      </c>
      <c r="BE43" t="s">
        <v>229</v>
      </c>
      <c r="BF43" t="s">
        <v>221</v>
      </c>
      <c r="BG43" t="s">
        <v>221</v>
      </c>
      <c r="BH43">
        <v>1.52</v>
      </c>
      <c r="BI43">
        <v>0.76</v>
      </c>
      <c r="BJ43">
        <v>0.8</v>
      </c>
      <c r="BK43" t="s">
        <v>221</v>
      </c>
      <c r="BL43">
        <v>1</v>
      </c>
      <c r="BM43">
        <v>4</v>
      </c>
      <c r="BN43">
        <v>3</v>
      </c>
      <c r="BO43">
        <v>3</v>
      </c>
      <c r="BP43">
        <v>3</v>
      </c>
      <c r="BQ43">
        <v>4</v>
      </c>
      <c r="BR43">
        <v>6</v>
      </c>
      <c r="BS43">
        <v>2</v>
      </c>
      <c r="BT43">
        <v>2</v>
      </c>
      <c r="BU43">
        <v>5</v>
      </c>
      <c r="BV43">
        <v>6</v>
      </c>
      <c r="BW43">
        <v>5</v>
      </c>
      <c r="BX43">
        <v>4</v>
      </c>
      <c r="BY43">
        <v>2</v>
      </c>
      <c r="BZ43">
        <v>1</v>
      </c>
      <c r="CA43">
        <v>6</v>
      </c>
      <c r="CB43">
        <v>7</v>
      </c>
      <c r="CC43">
        <v>5</v>
      </c>
      <c r="CD43">
        <v>1</v>
      </c>
      <c r="CE43">
        <v>2</v>
      </c>
      <c r="CF43">
        <v>4</v>
      </c>
      <c r="CG43">
        <v>1</v>
      </c>
      <c r="CH43">
        <v>3</v>
      </c>
      <c r="CI43">
        <v>6</v>
      </c>
      <c r="CJ43">
        <v>6</v>
      </c>
      <c r="CK43">
        <v>6</v>
      </c>
      <c r="CL43">
        <v>6</v>
      </c>
      <c r="CM43">
        <v>1</v>
      </c>
      <c r="CN43" t="s">
        <v>223</v>
      </c>
      <c r="CO43">
        <v>2</v>
      </c>
      <c r="CP43">
        <v>4</v>
      </c>
      <c r="CQ43">
        <v>6</v>
      </c>
      <c r="CR43">
        <v>2</v>
      </c>
      <c r="CS43">
        <v>2</v>
      </c>
      <c r="CT43">
        <v>6</v>
      </c>
      <c r="CU43">
        <v>6</v>
      </c>
      <c r="CV43">
        <v>2</v>
      </c>
      <c r="CW43">
        <v>3</v>
      </c>
      <c r="CX43" t="s">
        <v>235</v>
      </c>
      <c r="CY43">
        <v>6</v>
      </c>
      <c r="CZ43">
        <v>1</v>
      </c>
      <c r="DA43">
        <v>3</v>
      </c>
      <c r="DB43">
        <v>1</v>
      </c>
      <c r="DC43">
        <v>5</v>
      </c>
      <c r="DD43">
        <v>4</v>
      </c>
      <c r="DE43">
        <v>6</v>
      </c>
      <c r="DF43">
        <v>5</v>
      </c>
      <c r="DG43">
        <v>1</v>
      </c>
      <c r="DH43" t="s">
        <v>291</v>
      </c>
      <c r="DI43" t="s">
        <v>223</v>
      </c>
      <c r="DJ43"/>
      <c r="DK43"/>
      <c r="DL43"/>
      <c r="DM43"/>
      <c r="DN43"/>
      <c r="DO43"/>
      <c r="DP43"/>
      <c r="DQ43"/>
      <c r="DR43"/>
      <c r="DS43"/>
    </row>
    <row r="44" spans="1:123" s="38" customFormat="1">
      <c r="A44" s="46">
        <v>43664.669861111113</v>
      </c>
      <c r="B44" s="48" t="s">
        <v>64</v>
      </c>
      <c r="C44" s="36">
        <f t="shared" si="1"/>
        <v>43</v>
      </c>
      <c r="D44" s="73" t="s">
        <v>139</v>
      </c>
      <c r="E44" s="48" t="s">
        <v>66</v>
      </c>
      <c r="F44" s="69">
        <v>11</v>
      </c>
      <c r="G44" s="48">
        <v>24.4</v>
      </c>
      <c r="H44" s="48">
        <v>43.8</v>
      </c>
      <c r="I44" s="48">
        <v>569</v>
      </c>
      <c r="J44" s="48">
        <v>0.8</v>
      </c>
      <c r="K44" s="48">
        <v>29</v>
      </c>
      <c r="L44" s="47">
        <v>0.78999999999999992</v>
      </c>
      <c r="M44" s="76">
        <v>25.018699999999999</v>
      </c>
      <c r="N44" s="48">
        <v>0.04</v>
      </c>
      <c r="O44" s="48">
        <v>46.4</v>
      </c>
      <c r="P44" s="47">
        <v>0</v>
      </c>
      <c r="Q44" s="37"/>
      <c r="R44" s="47">
        <v>339</v>
      </c>
      <c r="S44" s="47">
        <v>214</v>
      </c>
      <c r="T44" s="47">
        <v>1300</v>
      </c>
      <c r="U44" s="37"/>
      <c r="V44" s="39">
        <f t="shared" si="2"/>
        <v>276.5</v>
      </c>
      <c r="W44" s="37"/>
      <c r="X44" s="47">
        <v>6.3</v>
      </c>
      <c r="Y44" s="47">
        <v>0.5</v>
      </c>
      <c r="Z44" s="47">
        <v>3.6</v>
      </c>
      <c r="AA44" s="47">
        <v>4.0999999999999996</v>
      </c>
      <c r="AB44" s="47">
        <v>10.399999999999999</v>
      </c>
      <c r="AC44" s="47"/>
      <c r="AD44" s="47">
        <v>3</v>
      </c>
      <c r="AE44" s="37"/>
      <c r="AF44" s="89" t="s">
        <v>210</v>
      </c>
      <c r="AG44" t="s">
        <v>211</v>
      </c>
      <c r="AH44" t="s">
        <v>211</v>
      </c>
      <c r="AI44" t="s">
        <v>211</v>
      </c>
      <c r="AJ44" t="s">
        <v>211</v>
      </c>
      <c r="AK44">
        <v>0.78999999999999992</v>
      </c>
      <c r="AL44" t="s">
        <v>228</v>
      </c>
      <c r="AM44" t="s">
        <v>264</v>
      </c>
      <c r="AN44" t="s">
        <v>215</v>
      </c>
      <c r="AO44" t="s">
        <v>216</v>
      </c>
      <c r="AP44" t="s">
        <v>217</v>
      </c>
      <c r="AQ44" t="s">
        <v>292</v>
      </c>
      <c r="AR44" t="s">
        <v>219</v>
      </c>
      <c r="AS44" t="s">
        <v>219</v>
      </c>
      <c r="AT44" t="s">
        <v>221</v>
      </c>
      <c r="AU44" t="s">
        <v>211</v>
      </c>
      <c r="AV44" t="s">
        <v>293</v>
      </c>
      <c r="AW44" t="s">
        <v>294</v>
      </c>
      <c r="AX44">
        <v>1300</v>
      </c>
      <c r="AY44">
        <f t="shared" si="0"/>
        <v>1300</v>
      </c>
      <c r="AZ44" t="s">
        <v>211</v>
      </c>
      <c r="BA44">
        <v>2.75</v>
      </c>
      <c r="BB44">
        <v>2.5</v>
      </c>
      <c r="BC44" t="s">
        <v>212</v>
      </c>
      <c r="BD44">
        <v>0.2</v>
      </c>
      <c r="BE44" t="s">
        <v>230</v>
      </c>
      <c r="BF44" t="s">
        <v>221</v>
      </c>
      <c r="BG44" t="s">
        <v>221</v>
      </c>
      <c r="BH44">
        <v>1.94</v>
      </c>
      <c r="BI44">
        <v>0.76</v>
      </c>
      <c r="BJ44">
        <v>0.72</v>
      </c>
      <c r="BK44" t="s">
        <v>221</v>
      </c>
      <c r="BL44">
        <v>2</v>
      </c>
      <c r="BM44">
        <v>2</v>
      </c>
      <c r="BN44">
        <v>4</v>
      </c>
      <c r="BO44">
        <v>2</v>
      </c>
      <c r="BP44">
        <v>2</v>
      </c>
      <c r="BQ44">
        <v>5</v>
      </c>
      <c r="BR44">
        <v>3</v>
      </c>
      <c r="BS44">
        <v>3</v>
      </c>
      <c r="BT44">
        <v>2</v>
      </c>
      <c r="BU44">
        <v>2</v>
      </c>
      <c r="BV44">
        <v>3</v>
      </c>
      <c r="BW44">
        <v>2</v>
      </c>
      <c r="BX44">
        <v>2</v>
      </c>
      <c r="BY44">
        <v>3</v>
      </c>
      <c r="BZ44">
        <v>1</v>
      </c>
      <c r="CA44">
        <v>6</v>
      </c>
      <c r="CB44">
        <v>7</v>
      </c>
      <c r="CC44">
        <v>6</v>
      </c>
      <c r="CD44">
        <v>1</v>
      </c>
      <c r="CE44">
        <v>1</v>
      </c>
      <c r="CF44">
        <v>3</v>
      </c>
      <c r="CG44">
        <v>2</v>
      </c>
      <c r="CH44">
        <v>2</v>
      </c>
      <c r="CI44">
        <v>7</v>
      </c>
      <c r="CJ44">
        <v>6</v>
      </c>
      <c r="CK44">
        <v>6</v>
      </c>
      <c r="CL44">
        <v>6</v>
      </c>
      <c r="CM44">
        <v>5</v>
      </c>
      <c r="CN44" t="s">
        <v>295</v>
      </c>
      <c r="CO44">
        <v>1</v>
      </c>
      <c r="CP44">
        <v>7</v>
      </c>
      <c r="CQ44">
        <v>6</v>
      </c>
      <c r="CR44">
        <v>1</v>
      </c>
      <c r="CS44">
        <v>1</v>
      </c>
      <c r="CT44">
        <v>7</v>
      </c>
      <c r="CU44">
        <v>6</v>
      </c>
      <c r="CV44">
        <v>3</v>
      </c>
      <c r="CW44">
        <v>3</v>
      </c>
      <c r="CX44" t="s">
        <v>15</v>
      </c>
      <c r="CY44">
        <v>3</v>
      </c>
      <c r="CZ44">
        <v>1</v>
      </c>
      <c r="DA44">
        <v>2</v>
      </c>
      <c r="DB44">
        <v>1</v>
      </c>
      <c r="DC44">
        <v>2</v>
      </c>
      <c r="DD44">
        <v>2</v>
      </c>
      <c r="DE44">
        <v>4</v>
      </c>
      <c r="DF44">
        <v>3</v>
      </c>
      <c r="DG44">
        <v>5</v>
      </c>
      <c r="DH44" t="s">
        <v>296</v>
      </c>
      <c r="DI44" t="s">
        <v>223</v>
      </c>
      <c r="DJ44"/>
      <c r="DK44"/>
      <c r="DL44"/>
      <c r="DM44"/>
      <c r="DN44"/>
      <c r="DO44"/>
      <c r="DP44"/>
      <c r="DQ44"/>
      <c r="DR44"/>
      <c r="DS44"/>
    </row>
    <row r="45" spans="1:123" s="38" customFormat="1" ht="28">
      <c r="A45" s="50">
        <v>43662.577881944446</v>
      </c>
      <c r="B45" s="51" t="s">
        <v>65</v>
      </c>
      <c r="C45" s="36">
        <f t="shared" si="1"/>
        <v>44</v>
      </c>
      <c r="D45" s="73" t="s">
        <v>139</v>
      </c>
      <c r="E45" s="51" t="s">
        <v>66</v>
      </c>
      <c r="F45" s="69">
        <v>11</v>
      </c>
      <c r="G45" s="52">
        <v>26.9</v>
      </c>
      <c r="H45" s="52">
        <v>60</v>
      </c>
      <c r="I45" s="52">
        <v>511.27272729999999</v>
      </c>
      <c r="J45" s="52">
        <v>0.73181818180000002</v>
      </c>
      <c r="K45" s="52">
        <v>40</v>
      </c>
      <c r="L45" s="53">
        <v>0.51</v>
      </c>
      <c r="M45" s="77">
        <v>25.7148</v>
      </c>
      <c r="N45" s="52">
        <v>0.08</v>
      </c>
      <c r="O45" s="52">
        <v>43.2</v>
      </c>
      <c r="P45" s="53">
        <v>0</v>
      </c>
      <c r="Q45" s="37"/>
      <c r="R45" s="53"/>
      <c r="S45" s="53">
        <v>1121</v>
      </c>
      <c r="T45" s="53">
        <v>903</v>
      </c>
      <c r="U45" s="37"/>
      <c r="V45" s="39">
        <f t="shared" si="2"/>
        <v>1121</v>
      </c>
      <c r="W45" s="37"/>
      <c r="X45" s="53"/>
      <c r="Y45" s="53"/>
      <c r="Z45" s="53"/>
      <c r="AA45" s="53">
        <v>0</v>
      </c>
      <c r="AB45" s="53"/>
      <c r="AC45" s="53"/>
      <c r="AD45" s="53">
        <v>7</v>
      </c>
      <c r="AE45" s="37"/>
      <c r="AF45" s="90" t="s">
        <v>210</v>
      </c>
      <c r="AG45" s="91" t="s">
        <v>211</v>
      </c>
      <c r="AH45" s="91" t="s">
        <v>212</v>
      </c>
      <c r="AI45" s="91" t="s">
        <v>212</v>
      </c>
      <c r="AJ45" s="91" t="s">
        <v>259</v>
      </c>
      <c r="AK45" s="92">
        <v>0.51</v>
      </c>
      <c r="AL45" s="91"/>
      <c r="AM45" s="91" t="s">
        <v>226</v>
      </c>
      <c r="AN45" s="91" t="s">
        <v>264</v>
      </c>
      <c r="AO45" s="91" t="s">
        <v>215</v>
      </c>
      <c r="AP45" s="91" t="s">
        <v>216</v>
      </c>
      <c r="AQ45" s="91" t="s">
        <v>217</v>
      </c>
      <c r="AR45" s="91" t="s">
        <v>345</v>
      </c>
      <c r="AS45" s="91" t="s">
        <v>219</v>
      </c>
      <c r="AT45" s="91" t="s">
        <v>219</v>
      </c>
      <c r="AU45" s="93" t="e">
        <v>#N/A</v>
      </c>
      <c r="AV45" s="91" t="s">
        <v>211</v>
      </c>
      <c r="AW45" s="92">
        <v>1121</v>
      </c>
      <c r="AX45" s="92">
        <v>903</v>
      </c>
      <c r="AY45" s="92">
        <v>432</v>
      </c>
      <c r="AZ45" s="91" t="s">
        <v>211</v>
      </c>
      <c r="BA45" s="92">
        <v>2.72</v>
      </c>
      <c r="BB45" s="92">
        <v>1.46</v>
      </c>
      <c r="BC45" s="91" t="s">
        <v>212</v>
      </c>
      <c r="BD45" s="92">
        <v>1.37</v>
      </c>
      <c r="BE45" s="91" t="s">
        <v>222</v>
      </c>
      <c r="BF45" s="93" t="e">
        <v>#N/A</v>
      </c>
      <c r="BG45" s="93" t="e">
        <v>#N/A</v>
      </c>
      <c r="BH45" s="92">
        <v>1.52</v>
      </c>
      <c r="BI45" s="92">
        <v>0.77</v>
      </c>
      <c r="BJ45" s="92">
        <v>0.8</v>
      </c>
      <c r="BK45" s="93" t="e">
        <v>#N/A</v>
      </c>
      <c r="BL45" s="92">
        <v>2</v>
      </c>
      <c r="BM45" s="92">
        <v>2</v>
      </c>
      <c r="BN45" s="92">
        <v>3</v>
      </c>
      <c r="BO45" s="92">
        <v>3</v>
      </c>
      <c r="BP45" s="92">
        <v>3</v>
      </c>
      <c r="BQ45" s="92">
        <v>4</v>
      </c>
      <c r="BR45" s="92">
        <v>7</v>
      </c>
      <c r="BS45" s="92">
        <v>2</v>
      </c>
      <c r="BT45" s="92">
        <v>2</v>
      </c>
      <c r="BU45" s="92">
        <v>5</v>
      </c>
      <c r="BV45" s="92">
        <v>3</v>
      </c>
      <c r="BW45" s="92">
        <v>4</v>
      </c>
      <c r="BX45" s="92">
        <v>4</v>
      </c>
      <c r="BY45" s="92">
        <v>3</v>
      </c>
      <c r="BZ45" s="92">
        <v>1</v>
      </c>
      <c r="CA45" s="92">
        <v>6</v>
      </c>
      <c r="CB45" s="92">
        <v>7</v>
      </c>
      <c r="CC45" s="92">
        <v>6</v>
      </c>
      <c r="CD45" s="92">
        <v>1</v>
      </c>
      <c r="CE45" s="92">
        <v>1</v>
      </c>
      <c r="CF45" s="92">
        <v>7</v>
      </c>
      <c r="CG45" s="92">
        <v>1</v>
      </c>
      <c r="CH45" s="92">
        <v>3</v>
      </c>
      <c r="CI45" s="92">
        <v>5</v>
      </c>
      <c r="CJ45" s="92">
        <v>5</v>
      </c>
      <c r="CK45" s="92">
        <v>6</v>
      </c>
      <c r="CL45" s="92">
        <v>5</v>
      </c>
      <c r="CM45" s="92">
        <v>1</v>
      </c>
      <c r="CN45" s="94"/>
      <c r="CO45" s="92">
        <v>2</v>
      </c>
      <c r="CP45" s="92">
        <v>5</v>
      </c>
      <c r="CQ45" s="92">
        <v>5</v>
      </c>
      <c r="CR45" s="92">
        <v>1</v>
      </c>
      <c r="CS45" s="92">
        <v>2</v>
      </c>
      <c r="CT45" s="92">
        <v>3</v>
      </c>
      <c r="CU45" s="92">
        <v>6</v>
      </c>
      <c r="CV45" s="92">
        <v>2</v>
      </c>
      <c r="CW45" s="92">
        <v>3</v>
      </c>
      <c r="CX45" s="91">
        <v>1</v>
      </c>
      <c r="CY45" s="92">
        <v>5</v>
      </c>
      <c r="CZ45" s="92">
        <v>1</v>
      </c>
      <c r="DA45" s="92">
        <v>3</v>
      </c>
      <c r="DB45" s="92">
        <v>2</v>
      </c>
      <c r="DC45" s="92">
        <v>6</v>
      </c>
      <c r="DD45" s="92">
        <v>3</v>
      </c>
      <c r="DE45" s="92">
        <v>6</v>
      </c>
      <c r="DF45" s="92">
        <v>5</v>
      </c>
      <c r="DG45" s="92">
        <v>5</v>
      </c>
      <c r="DH45" s="91" t="s">
        <v>346</v>
      </c>
      <c r="DI45" s="91"/>
      <c r="DJ45" s="91"/>
      <c r="DK45" s="91"/>
      <c r="DL45" s="91"/>
      <c r="DM45" s="91"/>
      <c r="DN45" s="91"/>
      <c r="DO45" s="91"/>
      <c r="DP45" s="91"/>
      <c r="DQ45" s="91"/>
      <c r="DR45" s="91"/>
      <c r="DS45" s="91"/>
    </row>
    <row r="46" spans="1:123" s="9" customFormat="1">
      <c r="A46" s="54">
        <v>43661.644467592596</v>
      </c>
      <c r="B46" s="56" t="s">
        <v>68</v>
      </c>
      <c r="C46" s="7">
        <f t="shared" si="1"/>
        <v>45</v>
      </c>
      <c r="D46" s="73" t="s">
        <v>139</v>
      </c>
      <c r="E46" s="56" t="s">
        <v>67</v>
      </c>
      <c r="F46" s="70">
        <v>12</v>
      </c>
      <c r="G46" s="56">
        <v>24.7</v>
      </c>
      <c r="H46" s="56">
        <v>55.8</v>
      </c>
      <c r="I46" s="56">
        <v>592</v>
      </c>
      <c r="J46" s="56">
        <v>0.7</v>
      </c>
      <c r="K46" s="56">
        <v>39</v>
      </c>
      <c r="L46" s="55">
        <v>0.53</v>
      </c>
      <c r="M46" s="78">
        <v>24.576699999999999</v>
      </c>
      <c r="N46" s="56">
        <v>0.01</v>
      </c>
      <c r="O46" s="56">
        <v>34.799999999999997</v>
      </c>
      <c r="P46" s="55">
        <v>0</v>
      </c>
      <c r="Q46" s="8"/>
      <c r="R46" s="55">
        <v>759</v>
      </c>
      <c r="S46" s="55">
        <v>569</v>
      </c>
      <c r="T46" s="55">
        <v>425</v>
      </c>
      <c r="U46" s="8"/>
      <c r="V46" s="22">
        <f t="shared" si="2"/>
        <v>664</v>
      </c>
      <c r="W46" s="8"/>
      <c r="X46" s="55">
        <v>11</v>
      </c>
      <c r="Y46" s="55">
        <v>3.6</v>
      </c>
      <c r="Z46" s="55">
        <v>11.1</v>
      </c>
      <c r="AA46" s="55">
        <v>14.7</v>
      </c>
      <c r="AB46" s="55">
        <v>25.7</v>
      </c>
      <c r="AC46" s="55"/>
      <c r="AD46" s="55">
        <v>5</v>
      </c>
      <c r="AE46" s="8"/>
      <c r="AF46" s="89" t="s">
        <v>210</v>
      </c>
      <c r="AG46" t="s">
        <v>211</v>
      </c>
      <c r="AH46" t="s">
        <v>211</v>
      </c>
      <c r="AI46" t="s">
        <v>211</v>
      </c>
      <c r="AJ46" t="s">
        <v>211</v>
      </c>
      <c r="AK46">
        <v>0.53</v>
      </c>
      <c r="AL46" t="s">
        <v>213</v>
      </c>
      <c r="AM46" t="s">
        <v>300</v>
      </c>
      <c r="AN46" t="s">
        <v>215</v>
      </c>
      <c r="AO46" t="s">
        <v>234</v>
      </c>
      <c r="AP46" t="s">
        <v>217</v>
      </c>
      <c r="AQ46" t="s">
        <v>301</v>
      </c>
      <c r="AR46" t="s">
        <v>302</v>
      </c>
      <c r="AS46" t="s">
        <v>221</v>
      </c>
      <c r="AT46" t="s">
        <v>221</v>
      </c>
      <c r="AU46" t="s">
        <v>211</v>
      </c>
      <c r="AV46">
        <v>759</v>
      </c>
      <c r="AW46">
        <v>569</v>
      </c>
      <c r="AX46">
        <v>425</v>
      </c>
      <c r="AY46">
        <f t="shared" si="0"/>
        <v>584.33333333333337</v>
      </c>
      <c r="AZ46" t="s">
        <v>211</v>
      </c>
      <c r="BA46">
        <v>3.1</v>
      </c>
      <c r="BB46" t="s">
        <v>221</v>
      </c>
      <c r="BC46" t="s">
        <v>212</v>
      </c>
      <c r="BD46" t="s">
        <v>221</v>
      </c>
      <c r="BE46" t="s">
        <v>221</v>
      </c>
      <c r="BF46" t="s">
        <v>221</v>
      </c>
      <c r="BG46" t="s">
        <v>221</v>
      </c>
      <c r="BH46">
        <v>1.6</v>
      </c>
      <c r="BI46">
        <v>0.8</v>
      </c>
      <c r="BJ46">
        <v>0.71</v>
      </c>
      <c r="BK46" t="s">
        <v>221</v>
      </c>
      <c r="BL46">
        <v>2</v>
      </c>
      <c r="BM46">
        <v>3</v>
      </c>
      <c r="BN46">
        <v>4</v>
      </c>
      <c r="BO46">
        <v>3</v>
      </c>
      <c r="BP46">
        <v>2</v>
      </c>
      <c r="BQ46">
        <v>5</v>
      </c>
      <c r="BR46">
        <v>5</v>
      </c>
      <c r="BS46">
        <v>2</v>
      </c>
      <c r="BT46">
        <v>3</v>
      </c>
      <c r="BU46">
        <v>2</v>
      </c>
      <c r="BV46">
        <v>2</v>
      </c>
      <c r="BW46">
        <v>2</v>
      </c>
      <c r="BX46">
        <v>1</v>
      </c>
      <c r="BY46">
        <v>3</v>
      </c>
      <c r="BZ46">
        <v>1</v>
      </c>
      <c r="CA46">
        <v>6</v>
      </c>
      <c r="CB46">
        <v>5</v>
      </c>
      <c r="CC46">
        <v>3</v>
      </c>
      <c r="CD46">
        <v>2</v>
      </c>
      <c r="CE46">
        <v>2</v>
      </c>
      <c r="CF46">
        <v>2</v>
      </c>
      <c r="CG46">
        <v>2</v>
      </c>
      <c r="CH46">
        <v>3</v>
      </c>
      <c r="CI46">
        <v>2</v>
      </c>
      <c r="CJ46">
        <v>2</v>
      </c>
      <c r="CK46">
        <v>1</v>
      </c>
      <c r="CL46">
        <v>2</v>
      </c>
      <c r="CM46">
        <v>1</v>
      </c>
      <c r="CN46"/>
      <c r="CO46">
        <v>4</v>
      </c>
      <c r="CP46">
        <v>1</v>
      </c>
      <c r="CQ46">
        <v>6</v>
      </c>
      <c r="CR46">
        <v>2</v>
      </c>
      <c r="CS46">
        <v>3</v>
      </c>
      <c r="CT46">
        <v>1</v>
      </c>
      <c r="CU46">
        <v>2</v>
      </c>
      <c r="CV46">
        <v>3</v>
      </c>
      <c r="CW46">
        <v>2</v>
      </c>
      <c r="CX46" t="s">
        <v>231</v>
      </c>
      <c r="CY46">
        <v>2</v>
      </c>
      <c r="CZ46">
        <v>2</v>
      </c>
      <c r="DA46">
        <v>3</v>
      </c>
      <c r="DB46">
        <v>1</v>
      </c>
      <c r="DC46">
        <v>1</v>
      </c>
      <c r="DD46">
        <v>2</v>
      </c>
      <c r="DE46">
        <v>5</v>
      </c>
      <c r="DF46">
        <v>2</v>
      </c>
      <c r="DG46">
        <v>5</v>
      </c>
      <c r="DH46" t="s">
        <v>303</v>
      </c>
      <c r="DI46"/>
      <c r="DJ46"/>
      <c r="DK46"/>
      <c r="DL46"/>
      <c r="DM46"/>
      <c r="DN46"/>
      <c r="DO46"/>
      <c r="DP46"/>
      <c r="DQ46"/>
      <c r="DR46"/>
      <c r="DS46"/>
    </row>
    <row r="47" spans="1:123" s="9" customFormat="1">
      <c r="A47" s="54">
        <v>43661.653506944444</v>
      </c>
      <c r="B47" s="56" t="s">
        <v>69</v>
      </c>
      <c r="C47" s="7">
        <f t="shared" si="1"/>
        <v>46</v>
      </c>
      <c r="D47" s="73" t="s">
        <v>139</v>
      </c>
      <c r="E47" s="56" t="s">
        <v>67</v>
      </c>
      <c r="F47" s="70">
        <v>12</v>
      </c>
      <c r="G47" s="56">
        <v>26.1</v>
      </c>
      <c r="H47" s="56">
        <v>51.7</v>
      </c>
      <c r="I47" s="56">
        <v>630</v>
      </c>
      <c r="J47" s="56">
        <v>0.7</v>
      </c>
      <c r="K47" s="56">
        <v>40</v>
      </c>
      <c r="L47" s="55">
        <v>0.47000000000000003</v>
      </c>
      <c r="M47" s="78">
        <v>25.056899999999999</v>
      </c>
      <c r="N47" s="56">
        <v>0.04</v>
      </c>
      <c r="O47" s="56">
        <v>38</v>
      </c>
      <c r="P47" s="55">
        <v>0</v>
      </c>
      <c r="Q47" s="8"/>
      <c r="R47" s="55">
        <v>266</v>
      </c>
      <c r="S47" s="55">
        <v>168</v>
      </c>
      <c r="T47" s="55">
        <v>186.2</v>
      </c>
      <c r="U47" s="8"/>
      <c r="V47" s="22">
        <f t="shared" si="2"/>
        <v>217</v>
      </c>
      <c r="W47" s="8"/>
      <c r="X47" s="55">
        <v>6.7</v>
      </c>
      <c r="Y47" s="55">
        <v>0.5</v>
      </c>
      <c r="Z47" s="55">
        <v>5.8</v>
      </c>
      <c r="AA47" s="55">
        <v>6.3</v>
      </c>
      <c r="AB47" s="55">
        <v>13</v>
      </c>
      <c r="AC47" s="55"/>
      <c r="AD47" s="55">
        <v>3</v>
      </c>
      <c r="AE47" s="8"/>
      <c r="AF47" s="89" t="s">
        <v>304</v>
      </c>
      <c r="AG47" t="s">
        <v>211</v>
      </c>
      <c r="AH47" t="s">
        <v>212</v>
      </c>
      <c r="AI47" t="s">
        <v>212</v>
      </c>
      <c r="AJ47" t="s">
        <v>305</v>
      </c>
      <c r="AK47">
        <v>0.47000000000000003</v>
      </c>
      <c r="AL47" t="s">
        <v>213</v>
      </c>
      <c r="AM47" t="s">
        <v>284</v>
      </c>
      <c r="AN47" t="s">
        <v>306</v>
      </c>
      <c r="AO47" t="s">
        <v>283</v>
      </c>
      <c r="AP47" t="s">
        <v>307</v>
      </c>
      <c r="AQ47" t="s">
        <v>247</v>
      </c>
      <c r="AR47" t="s">
        <v>214</v>
      </c>
      <c r="AS47" t="s">
        <v>282</v>
      </c>
      <c r="AT47" t="s">
        <v>271</v>
      </c>
      <c r="AU47" t="s">
        <v>211</v>
      </c>
      <c r="AV47">
        <v>266</v>
      </c>
      <c r="AW47">
        <v>168</v>
      </c>
      <c r="AX47">
        <v>186.2</v>
      </c>
      <c r="AY47">
        <f t="shared" si="0"/>
        <v>206.73333333333335</v>
      </c>
      <c r="AZ47" t="s">
        <v>211</v>
      </c>
      <c r="BA47">
        <v>2.4500000000000002</v>
      </c>
      <c r="BB47">
        <v>1.9</v>
      </c>
      <c r="BC47" t="s">
        <v>211</v>
      </c>
      <c r="BD47">
        <v>0.9</v>
      </c>
      <c r="BE47" t="s">
        <v>230</v>
      </c>
      <c r="BF47" t="s">
        <v>221</v>
      </c>
      <c r="BG47" t="s">
        <v>221</v>
      </c>
      <c r="BH47">
        <v>2.98</v>
      </c>
      <c r="BI47">
        <v>0.6</v>
      </c>
      <c r="BJ47">
        <v>0.82299999999999995</v>
      </c>
      <c r="BK47" t="s">
        <v>223</v>
      </c>
      <c r="BL47">
        <v>2</v>
      </c>
      <c r="BM47">
        <v>2</v>
      </c>
      <c r="BN47">
        <v>4</v>
      </c>
      <c r="BO47">
        <v>3</v>
      </c>
      <c r="BP47">
        <v>2</v>
      </c>
      <c r="BQ47">
        <v>6</v>
      </c>
      <c r="BR47">
        <v>3</v>
      </c>
      <c r="BS47">
        <v>3</v>
      </c>
      <c r="BT47">
        <v>2</v>
      </c>
      <c r="BU47">
        <v>3</v>
      </c>
      <c r="BV47">
        <v>3</v>
      </c>
      <c r="BW47">
        <v>3</v>
      </c>
      <c r="BX47">
        <v>1</v>
      </c>
      <c r="BY47">
        <v>3</v>
      </c>
      <c r="BZ47">
        <v>1</v>
      </c>
      <c r="CA47">
        <v>7</v>
      </c>
      <c r="CB47">
        <v>7</v>
      </c>
      <c r="CC47">
        <v>6</v>
      </c>
      <c r="CD47">
        <v>2</v>
      </c>
      <c r="CE47">
        <v>2</v>
      </c>
      <c r="CF47">
        <v>3</v>
      </c>
      <c r="CG47">
        <v>1</v>
      </c>
      <c r="CH47">
        <v>2</v>
      </c>
      <c r="CI47">
        <v>5</v>
      </c>
      <c r="CJ47">
        <v>5</v>
      </c>
      <c r="CK47">
        <v>2</v>
      </c>
      <c r="CL47">
        <v>5</v>
      </c>
      <c r="CM47">
        <v>1</v>
      </c>
      <c r="CN47"/>
      <c r="CO47">
        <v>2</v>
      </c>
      <c r="CP47">
        <v>5</v>
      </c>
      <c r="CQ47">
        <v>3</v>
      </c>
      <c r="CR47">
        <v>1</v>
      </c>
      <c r="CS47">
        <v>1</v>
      </c>
      <c r="CT47">
        <v>7</v>
      </c>
      <c r="CU47">
        <v>4</v>
      </c>
      <c r="CV47">
        <v>1</v>
      </c>
      <c r="CW47">
        <v>2</v>
      </c>
      <c r="CX47" t="s">
        <v>249</v>
      </c>
      <c r="CY47">
        <v>6</v>
      </c>
      <c r="CZ47">
        <v>1</v>
      </c>
      <c r="DA47">
        <v>3</v>
      </c>
      <c r="DB47">
        <v>3</v>
      </c>
      <c r="DC47">
        <v>4</v>
      </c>
      <c r="DD47">
        <v>2</v>
      </c>
      <c r="DE47">
        <v>3</v>
      </c>
      <c r="DF47">
        <v>6</v>
      </c>
      <c r="DG47">
        <v>5</v>
      </c>
      <c r="DH47" t="s">
        <v>308</v>
      </c>
      <c r="DI47"/>
      <c r="DJ47"/>
      <c r="DK47"/>
      <c r="DL47"/>
      <c r="DM47"/>
      <c r="DN47"/>
      <c r="DO47"/>
      <c r="DP47"/>
      <c r="DQ47"/>
      <c r="DR47"/>
      <c r="DS47"/>
    </row>
    <row r="48" spans="1:123" s="9" customFormat="1">
      <c r="A48" s="54">
        <v>43661.515416666669</v>
      </c>
      <c r="B48" s="56" t="s">
        <v>70</v>
      </c>
      <c r="C48" s="7">
        <f t="shared" si="1"/>
        <v>47</v>
      </c>
      <c r="D48" s="73" t="s">
        <v>139</v>
      </c>
      <c r="E48" s="56" t="s">
        <v>67</v>
      </c>
      <c r="F48" s="70">
        <v>12</v>
      </c>
      <c r="G48" s="56">
        <v>25.4</v>
      </c>
      <c r="H48" s="56">
        <v>52.6</v>
      </c>
      <c r="I48" s="56">
        <v>612</v>
      </c>
      <c r="J48" s="56">
        <v>1</v>
      </c>
      <c r="K48" s="56">
        <v>40</v>
      </c>
      <c r="L48" s="55">
        <v>0.87</v>
      </c>
      <c r="M48" s="78">
        <v>26.159199999999998</v>
      </c>
      <c r="N48" s="56">
        <v>0.03</v>
      </c>
      <c r="O48" s="56">
        <v>42.4</v>
      </c>
      <c r="P48" s="55">
        <v>1.37</v>
      </c>
      <c r="Q48" s="8"/>
      <c r="R48" s="55">
        <v>815</v>
      </c>
      <c r="S48" s="55">
        <v>504</v>
      </c>
      <c r="T48" s="55">
        <v>211</v>
      </c>
      <c r="U48" s="8"/>
      <c r="V48" s="22">
        <f t="shared" si="2"/>
        <v>659.5</v>
      </c>
      <c r="W48" s="8"/>
      <c r="X48" s="55">
        <v>0.1</v>
      </c>
      <c r="Y48" s="55">
        <v>0.4</v>
      </c>
      <c r="Z48" s="55">
        <v>0</v>
      </c>
      <c r="AA48" s="55">
        <v>0.4</v>
      </c>
      <c r="AB48" s="55">
        <v>0.5</v>
      </c>
      <c r="AC48" s="55"/>
      <c r="AD48" s="55">
        <v>6</v>
      </c>
      <c r="AE48" s="8"/>
      <c r="AF48" s="89" t="s">
        <v>309</v>
      </c>
      <c r="AG48" t="s">
        <v>211</v>
      </c>
      <c r="AH48" t="s">
        <v>212</v>
      </c>
      <c r="AI48" t="s">
        <v>212</v>
      </c>
      <c r="AJ48" t="s">
        <v>211</v>
      </c>
      <c r="AK48">
        <v>0.87</v>
      </c>
      <c r="AL48" t="s">
        <v>226</v>
      </c>
      <c r="AM48" t="s">
        <v>310</v>
      </c>
      <c r="AN48" t="s">
        <v>215</v>
      </c>
      <c r="AO48" t="s">
        <v>216</v>
      </c>
      <c r="AP48" t="s">
        <v>311</v>
      </c>
      <c r="AQ48" t="s">
        <v>247</v>
      </c>
      <c r="AR48" t="s">
        <v>219</v>
      </c>
      <c r="AS48" t="s">
        <v>219</v>
      </c>
      <c r="AT48" t="s">
        <v>264</v>
      </c>
      <c r="AU48" t="s">
        <v>211</v>
      </c>
      <c r="AV48">
        <v>815</v>
      </c>
      <c r="AW48">
        <v>504</v>
      </c>
      <c r="AX48">
        <v>211</v>
      </c>
      <c r="AY48">
        <f t="shared" si="0"/>
        <v>510</v>
      </c>
      <c r="AZ48" t="s">
        <v>211</v>
      </c>
      <c r="BA48">
        <v>2.37</v>
      </c>
      <c r="BB48">
        <v>1.07</v>
      </c>
      <c r="BC48" t="s">
        <v>212</v>
      </c>
      <c r="BD48">
        <v>1.25</v>
      </c>
      <c r="BE48" t="s">
        <v>230</v>
      </c>
      <c r="BF48" t="s">
        <v>221</v>
      </c>
      <c r="BG48" t="s">
        <v>221</v>
      </c>
      <c r="BH48">
        <v>1.53</v>
      </c>
      <c r="BI48">
        <v>0.76</v>
      </c>
      <c r="BJ48">
        <v>0.84</v>
      </c>
      <c r="BK48">
        <v>1.37</v>
      </c>
      <c r="BL48">
        <v>2</v>
      </c>
      <c r="BM48">
        <v>3</v>
      </c>
      <c r="BN48">
        <v>4</v>
      </c>
      <c r="BO48">
        <v>2</v>
      </c>
      <c r="BP48">
        <v>2</v>
      </c>
      <c r="BQ48">
        <v>5</v>
      </c>
      <c r="BR48">
        <v>6</v>
      </c>
      <c r="BS48">
        <v>2</v>
      </c>
      <c r="BT48">
        <v>3</v>
      </c>
      <c r="BU48">
        <v>2</v>
      </c>
      <c r="BV48">
        <v>4</v>
      </c>
      <c r="BW48">
        <v>1</v>
      </c>
      <c r="BX48">
        <v>1</v>
      </c>
      <c r="BY48">
        <v>2</v>
      </c>
      <c r="BZ48">
        <v>1</v>
      </c>
      <c r="CA48">
        <v>5</v>
      </c>
      <c r="CB48">
        <v>3</v>
      </c>
      <c r="CC48">
        <v>5</v>
      </c>
      <c r="CD48">
        <v>2</v>
      </c>
      <c r="CE48">
        <v>1</v>
      </c>
      <c r="CF48">
        <v>6</v>
      </c>
      <c r="CG48">
        <v>1</v>
      </c>
      <c r="CH48">
        <v>3</v>
      </c>
      <c r="CI48">
        <v>6</v>
      </c>
      <c r="CJ48">
        <v>6</v>
      </c>
      <c r="CK48">
        <v>5</v>
      </c>
      <c r="CL48">
        <v>4</v>
      </c>
      <c r="CM48">
        <v>1</v>
      </c>
      <c r="CN48"/>
      <c r="CO48">
        <v>1</v>
      </c>
      <c r="CP48">
        <v>6</v>
      </c>
      <c r="CQ48">
        <v>6</v>
      </c>
      <c r="CR48">
        <v>1</v>
      </c>
      <c r="CS48">
        <v>1</v>
      </c>
      <c r="CT48">
        <v>6</v>
      </c>
      <c r="CU48">
        <v>4</v>
      </c>
      <c r="CV48">
        <v>2</v>
      </c>
      <c r="CW48">
        <v>2</v>
      </c>
      <c r="CX48">
        <v>3</v>
      </c>
      <c r="CY48">
        <v>4</v>
      </c>
      <c r="CZ48">
        <v>1</v>
      </c>
      <c r="DA48">
        <v>3</v>
      </c>
      <c r="DB48">
        <v>2</v>
      </c>
      <c r="DC48">
        <v>5</v>
      </c>
      <c r="DD48">
        <v>3</v>
      </c>
      <c r="DE48">
        <v>4</v>
      </c>
      <c r="DF48">
        <v>3</v>
      </c>
      <c r="DG48">
        <v>5</v>
      </c>
      <c r="DH48" t="s">
        <v>312</v>
      </c>
      <c r="DI48"/>
      <c r="DJ48"/>
      <c r="DK48"/>
      <c r="DL48"/>
      <c r="DM48"/>
      <c r="DN48"/>
      <c r="DO48"/>
      <c r="DP48"/>
      <c r="DQ48"/>
      <c r="DR48"/>
      <c r="DS48"/>
    </row>
    <row r="49" spans="1:123" s="9" customFormat="1">
      <c r="A49" s="54">
        <v>43662.41064814815</v>
      </c>
      <c r="B49" s="56" t="s">
        <v>71</v>
      </c>
      <c r="C49" s="7">
        <f t="shared" si="1"/>
        <v>48</v>
      </c>
      <c r="D49" s="73" t="s">
        <v>139</v>
      </c>
      <c r="E49" s="56" t="s">
        <v>67</v>
      </c>
      <c r="F49" s="70">
        <v>12</v>
      </c>
      <c r="G49" s="56">
        <v>24.1</v>
      </c>
      <c r="H49" s="56">
        <v>55.2</v>
      </c>
      <c r="I49" s="56">
        <v>537.07142857142856</v>
      </c>
      <c r="J49" s="56">
        <v>1.0464285714285715</v>
      </c>
      <c r="K49" s="56">
        <v>49.928571428571431</v>
      </c>
      <c r="L49" s="55">
        <v>0.57000000000000006</v>
      </c>
      <c r="M49" s="78">
        <v>23.933499999999999</v>
      </c>
      <c r="N49" s="56">
        <v>0.04</v>
      </c>
      <c r="O49" s="56">
        <v>46.2</v>
      </c>
      <c r="P49" s="55">
        <v>0</v>
      </c>
      <c r="Q49" s="8"/>
      <c r="R49" s="55">
        <v>1356</v>
      </c>
      <c r="S49" s="55">
        <v>920</v>
      </c>
      <c r="T49" s="55">
        <v>840</v>
      </c>
      <c r="U49" s="8"/>
      <c r="V49" s="22">
        <f t="shared" si="2"/>
        <v>1138</v>
      </c>
      <c r="W49" s="8"/>
      <c r="X49" s="55">
        <v>7.6</v>
      </c>
      <c r="Y49" s="55">
        <v>1.4</v>
      </c>
      <c r="Z49" s="55">
        <v>7.9</v>
      </c>
      <c r="AA49" s="55">
        <v>9.3000000000000007</v>
      </c>
      <c r="AB49" s="55">
        <v>16.899999999999999</v>
      </c>
      <c r="AC49" s="55"/>
      <c r="AD49" s="55">
        <v>6</v>
      </c>
      <c r="AE49" s="8"/>
      <c r="AF49" s="89" t="s">
        <v>251</v>
      </c>
      <c r="AG49" t="s">
        <v>211</v>
      </c>
      <c r="AH49" t="s">
        <v>212</v>
      </c>
      <c r="AI49" t="s">
        <v>212</v>
      </c>
      <c r="AJ49" t="s">
        <v>212</v>
      </c>
      <c r="AK49">
        <v>0.57000000000000006</v>
      </c>
      <c r="AL49" t="s">
        <v>226</v>
      </c>
      <c r="AM49" t="s">
        <v>284</v>
      </c>
      <c r="AN49" t="s">
        <v>215</v>
      </c>
      <c r="AO49" t="s">
        <v>216</v>
      </c>
      <c r="AP49" t="s">
        <v>313</v>
      </c>
      <c r="AQ49" t="s">
        <v>247</v>
      </c>
      <c r="AR49" t="s">
        <v>219</v>
      </c>
      <c r="AS49" t="s">
        <v>314</v>
      </c>
      <c r="AT49" t="s">
        <v>279</v>
      </c>
      <c r="AU49" t="s">
        <v>212</v>
      </c>
      <c r="AV49">
        <v>1356</v>
      </c>
      <c r="AW49">
        <v>920</v>
      </c>
      <c r="AX49">
        <v>840</v>
      </c>
      <c r="AY49">
        <f t="shared" si="0"/>
        <v>1038.6666666666667</v>
      </c>
      <c r="AZ49" t="s">
        <v>212</v>
      </c>
      <c r="BA49">
        <v>2.2999999999999998</v>
      </c>
      <c r="BB49">
        <v>1.7</v>
      </c>
      <c r="BC49" t="s">
        <v>212</v>
      </c>
      <c r="BD49">
        <v>0.48</v>
      </c>
      <c r="BE49" t="s">
        <v>250</v>
      </c>
      <c r="BF49">
        <v>2.4</v>
      </c>
      <c r="BG49" t="s">
        <v>230</v>
      </c>
      <c r="BH49">
        <v>1.6</v>
      </c>
      <c r="BI49">
        <v>0.8</v>
      </c>
      <c r="BJ49">
        <v>0.84</v>
      </c>
      <c r="BK49" t="s">
        <v>221</v>
      </c>
      <c r="BL49">
        <v>2</v>
      </c>
      <c r="BM49">
        <v>4</v>
      </c>
      <c r="BN49">
        <v>2</v>
      </c>
      <c r="BO49">
        <v>3</v>
      </c>
      <c r="BP49">
        <v>2</v>
      </c>
      <c r="BQ49">
        <v>3</v>
      </c>
      <c r="BR49">
        <v>6</v>
      </c>
      <c r="BS49">
        <v>2</v>
      </c>
      <c r="BT49">
        <v>2</v>
      </c>
      <c r="BU49" t="s">
        <v>223</v>
      </c>
      <c r="BV49">
        <v>5</v>
      </c>
      <c r="BW49">
        <v>2</v>
      </c>
      <c r="BX49">
        <v>3</v>
      </c>
      <c r="BY49">
        <v>2</v>
      </c>
      <c r="BZ49">
        <v>1</v>
      </c>
      <c r="CA49">
        <v>5</v>
      </c>
      <c r="CB49">
        <v>2</v>
      </c>
      <c r="CC49">
        <v>2</v>
      </c>
      <c r="CD49">
        <v>1</v>
      </c>
      <c r="CE49">
        <v>1</v>
      </c>
      <c r="CF49">
        <v>1</v>
      </c>
      <c r="CG49">
        <v>1</v>
      </c>
      <c r="CH49">
        <v>2</v>
      </c>
      <c r="CI49">
        <v>4</v>
      </c>
      <c r="CJ49">
        <v>1</v>
      </c>
      <c r="CK49">
        <v>5</v>
      </c>
      <c r="CL49">
        <v>1</v>
      </c>
      <c r="CM49">
        <v>1</v>
      </c>
      <c r="CN49" t="s">
        <v>223</v>
      </c>
      <c r="CO49">
        <v>1</v>
      </c>
      <c r="CP49">
        <v>7</v>
      </c>
      <c r="CQ49">
        <v>7</v>
      </c>
      <c r="CR49">
        <v>1</v>
      </c>
      <c r="CS49">
        <v>1</v>
      </c>
      <c r="CT49">
        <v>6</v>
      </c>
      <c r="CU49">
        <v>2</v>
      </c>
      <c r="CV49">
        <v>3</v>
      </c>
      <c r="CW49">
        <v>2</v>
      </c>
      <c r="CX49" t="s">
        <v>15</v>
      </c>
      <c r="CY49">
        <v>6</v>
      </c>
      <c r="CZ49">
        <v>1</v>
      </c>
      <c r="DA49">
        <v>3</v>
      </c>
      <c r="DB49">
        <v>1</v>
      </c>
      <c r="DC49">
        <v>3</v>
      </c>
      <c r="DD49">
        <v>3</v>
      </c>
      <c r="DE49">
        <v>6</v>
      </c>
      <c r="DF49">
        <v>5</v>
      </c>
      <c r="DG49">
        <v>5</v>
      </c>
      <c r="DH49" t="s">
        <v>315</v>
      </c>
      <c r="DI49"/>
      <c r="DJ49"/>
      <c r="DK49"/>
      <c r="DL49"/>
      <c r="DM49"/>
      <c r="DN49"/>
      <c r="DO49"/>
      <c r="DP49"/>
      <c r="DQ49"/>
      <c r="DR49"/>
      <c r="DS49"/>
    </row>
    <row r="50" spans="1:123" s="9" customFormat="1">
      <c r="A50" s="54">
        <v>43662.419166666667</v>
      </c>
      <c r="B50" s="56" t="s">
        <v>72</v>
      </c>
      <c r="C50" s="7">
        <f t="shared" si="1"/>
        <v>49</v>
      </c>
      <c r="D50" s="73" t="s">
        <v>139</v>
      </c>
      <c r="E50" s="56" t="s">
        <v>67</v>
      </c>
      <c r="F50" s="70">
        <v>12</v>
      </c>
      <c r="G50" s="56">
        <v>23.3</v>
      </c>
      <c r="H50" s="56">
        <v>59.4</v>
      </c>
      <c r="I50" s="56">
        <v>529.70000000000005</v>
      </c>
      <c r="J50" s="56">
        <v>0.84999999999999964</v>
      </c>
      <c r="K50" s="56">
        <v>47.725000000000001</v>
      </c>
      <c r="L50" s="55">
        <v>0.57000000000000006</v>
      </c>
      <c r="M50" s="78">
        <v>23.922899999999998</v>
      </c>
      <c r="N50" s="56">
        <v>0.08</v>
      </c>
      <c r="O50" s="56">
        <v>48</v>
      </c>
      <c r="P50" s="55">
        <v>0</v>
      </c>
      <c r="Q50" s="8"/>
      <c r="R50" s="55">
        <v>1237</v>
      </c>
      <c r="S50" s="55">
        <v>616</v>
      </c>
      <c r="T50" s="55">
        <v>473</v>
      </c>
      <c r="U50" s="8"/>
      <c r="V50" s="22">
        <f t="shared" si="2"/>
        <v>926.5</v>
      </c>
      <c r="W50" s="8"/>
      <c r="X50" s="55">
        <v>6.3</v>
      </c>
      <c r="Y50" s="55">
        <v>0.6</v>
      </c>
      <c r="Z50" s="55">
        <v>10.5</v>
      </c>
      <c r="AA50" s="55">
        <v>11.1</v>
      </c>
      <c r="AB50" s="55">
        <v>17.399999999999999</v>
      </c>
      <c r="AC50" s="55"/>
      <c r="AD50" s="55">
        <v>6</v>
      </c>
      <c r="AE50" s="8"/>
      <c r="AF50" s="89" t="s">
        <v>251</v>
      </c>
      <c r="AG50" t="s">
        <v>211</v>
      </c>
      <c r="AH50" t="s">
        <v>212</v>
      </c>
      <c r="AI50" t="s">
        <v>212</v>
      </c>
      <c r="AJ50" t="s">
        <v>212</v>
      </c>
      <c r="AK50">
        <v>0.57000000000000006</v>
      </c>
      <c r="AL50" t="s">
        <v>226</v>
      </c>
      <c r="AM50" t="s">
        <v>264</v>
      </c>
      <c r="AN50" t="s">
        <v>215</v>
      </c>
      <c r="AO50" t="s">
        <v>216</v>
      </c>
      <c r="AP50" t="s">
        <v>311</v>
      </c>
      <c r="AQ50" t="s">
        <v>227</v>
      </c>
      <c r="AR50" t="s">
        <v>219</v>
      </c>
      <c r="AS50" t="s">
        <v>314</v>
      </c>
      <c r="AT50" t="s">
        <v>279</v>
      </c>
      <c r="AU50" t="s">
        <v>212</v>
      </c>
      <c r="AV50">
        <v>1237</v>
      </c>
      <c r="AW50">
        <v>616</v>
      </c>
      <c r="AX50">
        <v>473</v>
      </c>
      <c r="AY50">
        <f t="shared" si="0"/>
        <v>775.33333333333337</v>
      </c>
      <c r="AZ50" t="s">
        <v>212</v>
      </c>
      <c r="BA50">
        <v>2.2999999999999998</v>
      </c>
      <c r="BB50">
        <v>0</v>
      </c>
      <c r="BC50" t="s">
        <v>212</v>
      </c>
      <c r="BD50">
        <v>0.48</v>
      </c>
      <c r="BE50" t="s">
        <v>250</v>
      </c>
      <c r="BF50">
        <v>1.35</v>
      </c>
      <c r="BG50" t="s">
        <v>230</v>
      </c>
      <c r="BH50">
        <v>1.6</v>
      </c>
      <c r="BI50">
        <v>0.8</v>
      </c>
      <c r="BJ50">
        <v>0.83</v>
      </c>
      <c r="BK50" t="s">
        <v>221</v>
      </c>
      <c r="BL50">
        <v>2</v>
      </c>
      <c r="BM50">
        <v>3</v>
      </c>
      <c r="BN50">
        <v>4</v>
      </c>
      <c r="BO50">
        <v>2</v>
      </c>
      <c r="BP50">
        <v>2</v>
      </c>
      <c r="BQ50">
        <v>4</v>
      </c>
      <c r="BR50">
        <v>6</v>
      </c>
      <c r="BS50">
        <v>2</v>
      </c>
      <c r="BT50">
        <v>3</v>
      </c>
      <c r="BU50">
        <v>3</v>
      </c>
      <c r="BV50">
        <v>5</v>
      </c>
      <c r="BW50">
        <v>2</v>
      </c>
      <c r="BX50">
        <v>1</v>
      </c>
      <c r="BY50">
        <v>3</v>
      </c>
      <c r="BZ50">
        <v>1</v>
      </c>
      <c r="CA50">
        <v>3</v>
      </c>
      <c r="CB50">
        <v>2</v>
      </c>
      <c r="CC50">
        <v>3</v>
      </c>
      <c r="CD50">
        <v>1</v>
      </c>
      <c r="CE50">
        <v>1</v>
      </c>
      <c r="CF50">
        <v>4</v>
      </c>
      <c r="CG50">
        <v>1</v>
      </c>
      <c r="CH50">
        <v>1</v>
      </c>
      <c r="CI50">
        <v>3</v>
      </c>
      <c r="CJ50">
        <v>4</v>
      </c>
      <c r="CK50">
        <v>4</v>
      </c>
      <c r="CL50">
        <v>3</v>
      </c>
      <c r="CM50">
        <v>1</v>
      </c>
      <c r="CN50" t="s">
        <v>223</v>
      </c>
      <c r="CO50">
        <v>1</v>
      </c>
      <c r="CP50">
        <v>3</v>
      </c>
      <c r="CQ50">
        <v>3</v>
      </c>
      <c r="CR50">
        <v>1</v>
      </c>
      <c r="CS50">
        <v>2</v>
      </c>
      <c r="CT50">
        <v>6</v>
      </c>
      <c r="CU50">
        <v>2</v>
      </c>
      <c r="CV50">
        <v>1</v>
      </c>
      <c r="CW50">
        <v>2</v>
      </c>
      <c r="CX50" t="s">
        <v>257</v>
      </c>
      <c r="CY50">
        <v>6</v>
      </c>
      <c r="CZ50">
        <v>1</v>
      </c>
      <c r="DA50">
        <v>3</v>
      </c>
      <c r="DB50">
        <v>2</v>
      </c>
      <c r="DC50">
        <v>5</v>
      </c>
      <c r="DD50">
        <v>3</v>
      </c>
      <c r="DE50">
        <v>6</v>
      </c>
      <c r="DF50">
        <v>3</v>
      </c>
      <c r="DG50">
        <v>4</v>
      </c>
      <c r="DH50" t="s">
        <v>223</v>
      </c>
      <c r="DI50"/>
      <c r="DJ50"/>
      <c r="DK50"/>
      <c r="DL50"/>
      <c r="DM50"/>
      <c r="DN50"/>
      <c r="DO50"/>
      <c r="DP50"/>
      <c r="DQ50"/>
      <c r="DR50"/>
      <c r="DS50"/>
    </row>
    <row r="51" spans="1:123" s="9" customFormat="1">
      <c r="A51" s="54">
        <v>43662.42391203704</v>
      </c>
      <c r="B51" s="56" t="s">
        <v>73</v>
      </c>
      <c r="C51" s="7">
        <f t="shared" si="1"/>
        <v>50</v>
      </c>
      <c r="D51" s="73" t="s">
        <v>139</v>
      </c>
      <c r="E51" s="56" t="s">
        <v>67</v>
      </c>
      <c r="F51" s="70">
        <v>12</v>
      </c>
      <c r="G51" s="56">
        <v>23.8</v>
      </c>
      <c r="H51" s="56">
        <v>58.2</v>
      </c>
      <c r="I51" s="56">
        <v>555.45000000000005</v>
      </c>
      <c r="J51" s="56">
        <v>0.8</v>
      </c>
      <c r="K51" s="56">
        <v>46.25</v>
      </c>
      <c r="L51" s="55">
        <v>0.59000000000000008</v>
      </c>
      <c r="M51" s="78">
        <v>23.577300000000001</v>
      </c>
      <c r="N51" s="56">
        <v>7.0000000000000007E-2</v>
      </c>
      <c r="O51" s="56">
        <v>48.3</v>
      </c>
      <c r="P51" s="55">
        <v>0</v>
      </c>
      <c r="Q51" s="8"/>
      <c r="R51" s="55">
        <v>455</v>
      </c>
      <c r="S51" s="55">
        <v>425</v>
      </c>
      <c r="T51" s="55">
        <v>507</v>
      </c>
      <c r="U51" s="8"/>
      <c r="V51" s="22">
        <f t="shared" si="2"/>
        <v>440</v>
      </c>
      <c r="W51" s="8"/>
      <c r="X51" s="55">
        <v>11.7</v>
      </c>
      <c r="Y51" s="55">
        <v>2.8</v>
      </c>
      <c r="Z51" s="55">
        <v>7.8</v>
      </c>
      <c r="AA51" s="55">
        <v>10.6</v>
      </c>
      <c r="AB51" s="55">
        <v>22.299999999999997</v>
      </c>
      <c r="AC51" s="55"/>
      <c r="AD51" s="55">
        <v>5</v>
      </c>
      <c r="AE51" s="8"/>
      <c r="AF51" s="89" t="s">
        <v>251</v>
      </c>
      <c r="AG51" t="s">
        <v>211</v>
      </c>
      <c r="AH51" t="s">
        <v>212</v>
      </c>
      <c r="AI51" t="s">
        <v>212</v>
      </c>
      <c r="AJ51" t="s">
        <v>211</v>
      </c>
      <c r="AK51">
        <v>0.59000000000000008</v>
      </c>
      <c r="AL51" t="s">
        <v>226</v>
      </c>
      <c r="AM51" t="s">
        <v>219</v>
      </c>
      <c r="AN51" t="s">
        <v>215</v>
      </c>
      <c r="AO51" t="s">
        <v>234</v>
      </c>
      <c r="AP51" t="s">
        <v>311</v>
      </c>
      <c r="AQ51" t="s">
        <v>266</v>
      </c>
      <c r="AR51" t="s">
        <v>219</v>
      </c>
      <c r="AS51" t="s">
        <v>314</v>
      </c>
      <c r="AT51" t="s">
        <v>279</v>
      </c>
      <c r="AU51" t="s">
        <v>212</v>
      </c>
      <c r="AV51">
        <v>455</v>
      </c>
      <c r="AW51">
        <v>425</v>
      </c>
      <c r="AX51">
        <v>507</v>
      </c>
      <c r="AY51">
        <f t="shared" si="0"/>
        <v>462.33333333333331</v>
      </c>
      <c r="AZ51" t="s">
        <v>211</v>
      </c>
      <c r="BA51">
        <v>2.2999999999999998</v>
      </c>
      <c r="BB51">
        <v>0.4</v>
      </c>
      <c r="BC51" t="s">
        <v>211</v>
      </c>
      <c r="BD51">
        <v>0</v>
      </c>
      <c r="BE51" t="s">
        <v>316</v>
      </c>
      <c r="BF51">
        <v>3</v>
      </c>
      <c r="BG51" t="s">
        <v>250</v>
      </c>
      <c r="BH51">
        <v>1.5</v>
      </c>
      <c r="BI51">
        <v>0.76</v>
      </c>
      <c r="BJ51">
        <v>0.83</v>
      </c>
      <c r="BK51" t="s">
        <v>223</v>
      </c>
      <c r="BL51">
        <v>1</v>
      </c>
      <c r="BM51">
        <v>1</v>
      </c>
      <c r="BN51">
        <v>3</v>
      </c>
      <c r="BO51">
        <v>2</v>
      </c>
      <c r="BP51">
        <v>3</v>
      </c>
      <c r="BQ51">
        <v>4</v>
      </c>
      <c r="BR51">
        <v>5</v>
      </c>
      <c r="BS51">
        <v>2</v>
      </c>
      <c r="BT51">
        <v>3</v>
      </c>
      <c r="BU51">
        <v>5</v>
      </c>
      <c r="BV51">
        <v>5</v>
      </c>
      <c r="BW51">
        <v>2</v>
      </c>
      <c r="BX51">
        <v>3</v>
      </c>
      <c r="BY51">
        <v>2</v>
      </c>
      <c r="BZ51">
        <v>1</v>
      </c>
      <c r="CA51">
        <v>5</v>
      </c>
      <c r="CB51">
        <v>4</v>
      </c>
      <c r="CC51">
        <v>4</v>
      </c>
      <c r="CD51">
        <v>2</v>
      </c>
      <c r="CE51">
        <v>1</v>
      </c>
      <c r="CF51">
        <v>3</v>
      </c>
      <c r="CG51">
        <v>1</v>
      </c>
      <c r="CH51">
        <v>2</v>
      </c>
      <c r="CI51">
        <v>7</v>
      </c>
      <c r="CJ51">
        <v>4</v>
      </c>
      <c r="CK51">
        <v>5</v>
      </c>
      <c r="CL51">
        <v>4</v>
      </c>
      <c r="CM51">
        <v>3</v>
      </c>
      <c r="CN51"/>
      <c r="CO51">
        <v>1</v>
      </c>
      <c r="CP51">
        <v>7</v>
      </c>
      <c r="CQ51">
        <v>2</v>
      </c>
      <c r="CR51">
        <v>1</v>
      </c>
      <c r="CS51">
        <v>2</v>
      </c>
      <c r="CT51">
        <v>5</v>
      </c>
      <c r="CU51">
        <v>5</v>
      </c>
      <c r="CV51">
        <v>2</v>
      </c>
      <c r="CW51">
        <v>2</v>
      </c>
      <c r="CX51">
        <v>1</v>
      </c>
      <c r="CY51">
        <v>5</v>
      </c>
      <c r="CZ51">
        <v>1</v>
      </c>
      <c r="DA51">
        <v>3</v>
      </c>
      <c r="DB51">
        <v>2</v>
      </c>
      <c r="DC51">
        <v>5</v>
      </c>
      <c r="DD51">
        <v>3</v>
      </c>
      <c r="DE51">
        <v>5</v>
      </c>
      <c r="DF51">
        <v>4</v>
      </c>
      <c r="DG51">
        <v>1</v>
      </c>
      <c r="DH51"/>
      <c r="DI51"/>
      <c r="DJ51"/>
      <c r="DK51"/>
      <c r="DL51"/>
      <c r="DM51"/>
      <c r="DN51"/>
      <c r="DO51"/>
      <c r="DP51"/>
      <c r="DQ51"/>
      <c r="DR51"/>
      <c r="DS51"/>
    </row>
    <row r="52" spans="1:123" s="9" customFormat="1">
      <c r="A52" s="54">
        <v>43662.438194444447</v>
      </c>
      <c r="B52" s="56" t="s">
        <v>74</v>
      </c>
      <c r="C52" s="7">
        <f t="shared" si="1"/>
        <v>51</v>
      </c>
      <c r="D52" s="73" t="s">
        <v>139</v>
      </c>
      <c r="E52" s="56" t="s">
        <v>67</v>
      </c>
      <c r="F52" s="70">
        <v>12</v>
      </c>
      <c r="G52" s="56">
        <v>22.5</v>
      </c>
      <c r="H52" s="56">
        <v>62.8</v>
      </c>
      <c r="I52" s="56">
        <v>558.13333333333333</v>
      </c>
      <c r="J52" s="56">
        <v>0.65999999999999992</v>
      </c>
      <c r="K52" s="56">
        <v>46</v>
      </c>
      <c r="L52" s="55">
        <v>0.53</v>
      </c>
      <c r="M52" s="78">
        <v>22.8627</v>
      </c>
      <c r="N52" s="56">
        <v>0.16</v>
      </c>
      <c r="O52" s="56">
        <v>47.9</v>
      </c>
      <c r="P52" s="55">
        <v>0</v>
      </c>
      <c r="Q52" s="8"/>
      <c r="R52" s="55">
        <v>820</v>
      </c>
      <c r="S52" s="55">
        <v>960</v>
      </c>
      <c r="T52" s="55">
        <v>287</v>
      </c>
      <c r="U52" s="8"/>
      <c r="V52" s="22">
        <f t="shared" si="2"/>
        <v>890</v>
      </c>
      <c r="W52" s="8"/>
      <c r="X52" s="55">
        <v>4.2</v>
      </c>
      <c r="Y52" s="55">
        <v>0.3</v>
      </c>
      <c r="Z52" s="55">
        <v>0</v>
      </c>
      <c r="AA52" s="55">
        <v>0.3</v>
      </c>
      <c r="AB52" s="55">
        <v>4.5</v>
      </c>
      <c r="AC52" s="55"/>
      <c r="AD52" s="55">
        <v>4</v>
      </c>
      <c r="AE52" s="8"/>
      <c r="AF52" s="89" t="s">
        <v>225</v>
      </c>
      <c r="AG52" t="s">
        <v>211</v>
      </c>
      <c r="AH52" t="s">
        <v>212</v>
      </c>
      <c r="AI52" t="s">
        <v>212</v>
      </c>
      <c r="AJ52" t="s">
        <v>211</v>
      </c>
      <c r="AK52">
        <v>0.53</v>
      </c>
      <c r="AL52" t="s">
        <v>226</v>
      </c>
      <c r="AM52" t="s">
        <v>219</v>
      </c>
      <c r="AN52" t="s">
        <v>215</v>
      </c>
      <c r="AO52" t="s">
        <v>317</v>
      </c>
      <c r="AP52" t="s">
        <v>311</v>
      </c>
      <c r="AQ52" t="s">
        <v>266</v>
      </c>
      <c r="AR52" t="s">
        <v>219</v>
      </c>
      <c r="AS52" t="s">
        <v>219</v>
      </c>
      <c r="AT52" t="s">
        <v>279</v>
      </c>
      <c r="AU52" t="s">
        <v>211</v>
      </c>
      <c r="AV52">
        <v>820</v>
      </c>
      <c r="AW52">
        <v>960</v>
      </c>
      <c r="AX52">
        <v>287</v>
      </c>
      <c r="AY52">
        <f>AVERAGE(AV52:AX52)</f>
        <v>689</v>
      </c>
      <c r="AZ52" t="s">
        <v>211</v>
      </c>
      <c r="BA52">
        <v>3.54</v>
      </c>
      <c r="BB52" t="s">
        <v>221</v>
      </c>
      <c r="BC52" t="s">
        <v>211</v>
      </c>
      <c r="BD52">
        <v>2.08</v>
      </c>
      <c r="BE52" t="s">
        <v>256</v>
      </c>
      <c r="BF52" t="s">
        <v>221</v>
      </c>
      <c r="BG52" t="s">
        <v>221</v>
      </c>
      <c r="BH52">
        <v>1.58</v>
      </c>
      <c r="BI52">
        <v>0.6</v>
      </c>
      <c r="BJ52">
        <v>0.84</v>
      </c>
      <c r="BK52" t="s">
        <v>221</v>
      </c>
      <c r="BL52">
        <v>1</v>
      </c>
      <c r="BM52">
        <v>3</v>
      </c>
      <c r="BN52">
        <v>1</v>
      </c>
      <c r="BO52">
        <v>3</v>
      </c>
      <c r="BP52">
        <v>2</v>
      </c>
      <c r="BQ52">
        <v>2</v>
      </c>
      <c r="BR52">
        <v>4</v>
      </c>
      <c r="BS52">
        <v>2</v>
      </c>
      <c r="BT52">
        <v>3</v>
      </c>
      <c r="BU52">
        <v>3</v>
      </c>
      <c r="BV52">
        <v>3</v>
      </c>
      <c r="BW52"/>
      <c r="BX52">
        <v>2</v>
      </c>
      <c r="BY52">
        <v>1</v>
      </c>
      <c r="BZ52">
        <v>2</v>
      </c>
      <c r="CA52">
        <v>7</v>
      </c>
      <c r="CB52">
        <v>6</v>
      </c>
      <c r="CC52">
        <v>6</v>
      </c>
      <c r="CD52">
        <v>2</v>
      </c>
      <c r="CE52">
        <v>1</v>
      </c>
      <c r="CF52">
        <v>3</v>
      </c>
      <c r="CG52">
        <v>1</v>
      </c>
      <c r="CH52">
        <v>2</v>
      </c>
      <c r="CI52">
        <v>6</v>
      </c>
      <c r="CJ52">
        <v>6</v>
      </c>
      <c r="CK52">
        <v>3</v>
      </c>
      <c r="CL52">
        <v>5</v>
      </c>
      <c r="CM52">
        <v>5</v>
      </c>
      <c r="CN52" t="s">
        <v>318</v>
      </c>
      <c r="CO52">
        <v>1</v>
      </c>
      <c r="CP52">
        <v>6</v>
      </c>
      <c r="CQ52">
        <v>3</v>
      </c>
      <c r="CR52">
        <v>1</v>
      </c>
      <c r="CS52">
        <v>1</v>
      </c>
      <c r="CT52">
        <v>6</v>
      </c>
      <c r="CU52">
        <v>5</v>
      </c>
      <c r="CV52">
        <v>2</v>
      </c>
      <c r="CW52">
        <v>3</v>
      </c>
      <c r="CX52">
        <v>3</v>
      </c>
      <c r="CY52">
        <v>5</v>
      </c>
      <c r="CZ52">
        <v>2</v>
      </c>
      <c r="DA52">
        <v>3</v>
      </c>
      <c r="DB52">
        <v>3</v>
      </c>
      <c r="DC52">
        <v>2</v>
      </c>
      <c r="DD52">
        <v>3</v>
      </c>
      <c r="DE52">
        <v>4</v>
      </c>
      <c r="DF52">
        <v>3</v>
      </c>
      <c r="DG52">
        <v>2</v>
      </c>
      <c r="DH52" t="s">
        <v>319</v>
      </c>
      <c r="DI52"/>
      <c r="DJ52"/>
      <c r="DK52"/>
      <c r="DL52"/>
      <c r="DM52"/>
      <c r="DN52"/>
      <c r="DO52"/>
      <c r="DP52"/>
      <c r="DQ52"/>
      <c r="DR52"/>
      <c r="DS52"/>
    </row>
    <row r="53" spans="1:123" s="9" customFormat="1" ht="28">
      <c r="A53" s="57">
        <v>43661.637592592589</v>
      </c>
      <c r="B53" s="58" t="s">
        <v>75</v>
      </c>
      <c r="C53" s="7">
        <f t="shared" si="1"/>
        <v>52</v>
      </c>
      <c r="D53" s="73" t="s">
        <v>139</v>
      </c>
      <c r="E53" s="58" t="s">
        <v>67</v>
      </c>
      <c r="F53" s="70">
        <v>12</v>
      </c>
      <c r="G53" s="59">
        <v>25</v>
      </c>
      <c r="H53" s="59">
        <v>54</v>
      </c>
      <c r="I53" s="59">
        <v>625</v>
      </c>
      <c r="J53" s="59">
        <v>0.8</v>
      </c>
      <c r="K53" s="59">
        <v>43</v>
      </c>
      <c r="L53" s="60">
        <v>0.31</v>
      </c>
      <c r="M53" s="79">
        <v>25.404199999999999</v>
      </c>
      <c r="N53" s="59">
        <v>0.04</v>
      </c>
      <c r="O53" s="59">
        <v>43.6</v>
      </c>
      <c r="P53" s="60">
        <v>0</v>
      </c>
      <c r="Q53" s="8"/>
      <c r="R53" s="60"/>
      <c r="S53" s="60">
        <v>166</v>
      </c>
      <c r="T53" s="60">
        <v>131</v>
      </c>
      <c r="U53" s="8"/>
      <c r="V53" s="22">
        <f t="shared" si="2"/>
        <v>166</v>
      </c>
      <c r="W53" s="8"/>
      <c r="X53" s="60"/>
      <c r="Y53" s="60"/>
      <c r="Z53" s="60"/>
      <c r="AA53" s="60">
        <v>0</v>
      </c>
      <c r="AB53" s="60"/>
      <c r="AC53" s="60"/>
      <c r="AD53" s="60">
        <v>2</v>
      </c>
      <c r="AE53" s="8"/>
      <c r="AF53" s="90" t="s">
        <v>210</v>
      </c>
      <c r="AG53" s="91" t="s">
        <v>211</v>
      </c>
      <c r="AH53" s="91" t="s">
        <v>212</v>
      </c>
      <c r="AI53" s="91" t="s">
        <v>212</v>
      </c>
      <c r="AJ53" s="91" t="s">
        <v>212</v>
      </c>
      <c r="AK53" s="92">
        <v>0.31</v>
      </c>
      <c r="AL53" s="91"/>
      <c r="AM53" s="91" t="s">
        <v>213</v>
      </c>
      <c r="AN53" s="91" t="s">
        <v>300</v>
      </c>
      <c r="AO53" s="91" t="s">
        <v>320</v>
      </c>
      <c r="AP53" s="91" t="s">
        <v>279</v>
      </c>
      <c r="AQ53" s="91" t="s">
        <v>217</v>
      </c>
      <c r="AR53" s="91" t="s">
        <v>301</v>
      </c>
      <c r="AS53" s="91" t="s">
        <v>302</v>
      </c>
      <c r="AT53" s="93" t="e">
        <v>#N/A</v>
      </c>
      <c r="AU53" s="93" t="e">
        <v>#N/A</v>
      </c>
      <c r="AV53" s="91" t="s">
        <v>211</v>
      </c>
      <c r="AW53" s="92">
        <v>166</v>
      </c>
      <c r="AX53" s="92">
        <v>131</v>
      </c>
      <c r="AY53" s="92">
        <v>100</v>
      </c>
      <c r="AZ53" s="91" t="s">
        <v>211</v>
      </c>
      <c r="BA53" s="92">
        <v>3.1</v>
      </c>
      <c r="BB53" s="93" t="e">
        <v>#N/A</v>
      </c>
      <c r="BC53" s="91" t="s">
        <v>212</v>
      </c>
      <c r="BD53" s="92">
        <v>2.1</v>
      </c>
      <c r="BE53" s="91" t="s">
        <v>229</v>
      </c>
      <c r="BF53" s="91"/>
      <c r="BG53" s="91"/>
      <c r="BH53" s="92">
        <v>1</v>
      </c>
      <c r="BI53" s="92">
        <v>0.6</v>
      </c>
      <c r="BJ53" s="92">
        <v>1</v>
      </c>
      <c r="BK53" s="93" t="e">
        <v>#N/A</v>
      </c>
      <c r="BL53" s="92">
        <v>1</v>
      </c>
      <c r="BM53" s="92">
        <v>4</v>
      </c>
      <c r="BN53" s="92">
        <v>4</v>
      </c>
      <c r="BO53" s="92">
        <v>2</v>
      </c>
      <c r="BP53" s="92">
        <v>2</v>
      </c>
      <c r="BQ53" s="92">
        <v>7</v>
      </c>
      <c r="BR53" s="92">
        <v>2</v>
      </c>
      <c r="BS53" s="92">
        <v>3</v>
      </c>
      <c r="BT53" s="92">
        <v>2</v>
      </c>
      <c r="BU53" s="92">
        <v>3</v>
      </c>
      <c r="BV53" s="92">
        <v>2</v>
      </c>
      <c r="BW53" s="92">
        <v>2</v>
      </c>
      <c r="BX53" s="92">
        <v>2</v>
      </c>
      <c r="BY53" s="92">
        <v>3</v>
      </c>
      <c r="BZ53" s="92">
        <v>1</v>
      </c>
      <c r="CA53" s="92">
        <v>6</v>
      </c>
      <c r="CB53" s="92">
        <v>6</v>
      </c>
      <c r="CC53" s="92">
        <v>6</v>
      </c>
      <c r="CD53" s="92">
        <v>1</v>
      </c>
      <c r="CE53" s="92">
        <v>2</v>
      </c>
      <c r="CF53" s="92">
        <v>4</v>
      </c>
      <c r="CG53" s="92">
        <v>1</v>
      </c>
      <c r="CH53" s="92">
        <v>2</v>
      </c>
      <c r="CI53" s="92">
        <v>4</v>
      </c>
      <c r="CJ53" s="92">
        <v>6</v>
      </c>
      <c r="CK53" s="92">
        <v>4</v>
      </c>
      <c r="CL53" s="92">
        <v>6</v>
      </c>
      <c r="CM53" s="92">
        <v>5</v>
      </c>
      <c r="CN53" s="91" t="s">
        <v>347</v>
      </c>
      <c r="CO53" s="92">
        <v>1</v>
      </c>
      <c r="CP53" s="92">
        <v>6</v>
      </c>
      <c r="CQ53" s="92">
        <v>2</v>
      </c>
      <c r="CR53" s="92">
        <v>1</v>
      </c>
      <c r="CS53" s="92">
        <v>2</v>
      </c>
      <c r="CT53" s="92">
        <v>6</v>
      </c>
      <c r="CU53" s="92">
        <v>6</v>
      </c>
      <c r="CV53" s="92">
        <v>1</v>
      </c>
      <c r="CW53" s="92">
        <v>2</v>
      </c>
      <c r="CX53" s="92">
        <v>3</v>
      </c>
      <c r="CY53" s="92">
        <v>5</v>
      </c>
      <c r="CZ53" s="92">
        <v>1</v>
      </c>
      <c r="DA53" s="92">
        <v>3</v>
      </c>
      <c r="DB53" s="92">
        <v>3</v>
      </c>
      <c r="DC53" s="92">
        <v>3</v>
      </c>
      <c r="DD53" s="92">
        <v>3</v>
      </c>
      <c r="DE53" s="92">
        <v>6</v>
      </c>
      <c r="DF53" s="92">
        <v>3</v>
      </c>
      <c r="DG53" s="92">
        <v>5</v>
      </c>
      <c r="DH53" s="91" t="s">
        <v>348</v>
      </c>
      <c r="DI53" s="91"/>
      <c r="DJ53" s="91"/>
      <c r="DK53" s="91"/>
      <c r="DL53" s="91"/>
      <c r="DM53" s="91"/>
      <c r="DN53" s="91"/>
      <c r="DO53" s="91"/>
      <c r="DP53" s="91"/>
      <c r="DQ53" s="91"/>
      <c r="DR53" s="91"/>
      <c r="DS53" s="91"/>
    </row>
    <row r="54" spans="1:123" s="15" customFormat="1">
      <c r="A54" s="61">
        <v>43661.619062500002</v>
      </c>
      <c r="B54" s="62" t="s">
        <v>76</v>
      </c>
      <c r="C54" s="13">
        <f t="shared" si="1"/>
        <v>53</v>
      </c>
      <c r="D54" s="73" t="s">
        <v>139</v>
      </c>
      <c r="E54" s="62" t="s">
        <v>77</v>
      </c>
      <c r="F54" s="71">
        <v>13</v>
      </c>
      <c r="G54" s="62">
        <v>25.1</v>
      </c>
      <c r="H54" s="62">
        <v>55.5</v>
      </c>
      <c r="I54" s="62">
        <v>518</v>
      </c>
      <c r="J54" s="62">
        <v>0.8</v>
      </c>
      <c r="K54" s="62">
        <v>40</v>
      </c>
      <c r="L54" s="63">
        <v>0.53</v>
      </c>
      <c r="M54" s="80">
        <v>27.307500000000001</v>
      </c>
      <c r="N54" s="62">
        <v>0.18</v>
      </c>
      <c r="O54" s="62">
        <v>46.4</v>
      </c>
      <c r="P54" s="63">
        <v>0</v>
      </c>
      <c r="Q54" s="14"/>
      <c r="R54" s="63">
        <v>805</v>
      </c>
      <c r="S54" s="63">
        <v>960</v>
      </c>
      <c r="T54" s="63">
        <v>592</v>
      </c>
      <c r="U54" s="14"/>
      <c r="V54" s="23">
        <f t="shared" si="2"/>
        <v>882.5</v>
      </c>
      <c r="W54" s="14"/>
      <c r="X54" s="63">
        <v>5</v>
      </c>
      <c r="Y54" s="63">
        <v>0</v>
      </c>
      <c r="Z54" s="63">
        <v>3.4</v>
      </c>
      <c r="AA54" s="63">
        <v>3.4</v>
      </c>
      <c r="AB54" s="63">
        <v>8.4</v>
      </c>
      <c r="AC54" s="63"/>
      <c r="AD54" s="63">
        <v>6</v>
      </c>
      <c r="AE54" s="14"/>
      <c r="AF54" s="89" t="s">
        <v>210</v>
      </c>
      <c r="AG54" t="s">
        <v>211</v>
      </c>
      <c r="AH54" t="s">
        <v>212</v>
      </c>
      <c r="AI54" t="s">
        <v>212</v>
      </c>
      <c r="AJ54" t="s">
        <v>211</v>
      </c>
      <c r="AK54">
        <v>0.53</v>
      </c>
      <c r="AL54" t="s">
        <v>213</v>
      </c>
      <c r="AM54" t="s">
        <v>214</v>
      </c>
      <c r="AN54" t="s">
        <v>215</v>
      </c>
      <c r="AO54" t="s">
        <v>216</v>
      </c>
      <c r="AP54" t="s">
        <v>217</v>
      </c>
      <c r="AQ54" t="s">
        <v>297</v>
      </c>
      <c r="AR54" t="s">
        <v>219</v>
      </c>
      <c r="AS54" t="s">
        <v>219</v>
      </c>
      <c r="AT54" t="s">
        <v>221</v>
      </c>
      <c r="AU54" t="s">
        <v>211</v>
      </c>
      <c r="AV54">
        <v>805</v>
      </c>
      <c r="AW54">
        <v>960</v>
      </c>
      <c r="AX54">
        <v>592</v>
      </c>
      <c r="AY54">
        <f>AVERAGE(AV54:AX54)</f>
        <v>785.66666666666663</v>
      </c>
      <c r="AZ54" t="s">
        <v>211</v>
      </c>
      <c r="BA54">
        <v>3.1</v>
      </c>
      <c r="BB54" t="s">
        <v>221</v>
      </c>
      <c r="BC54" t="s">
        <v>211</v>
      </c>
      <c r="BD54">
        <v>0</v>
      </c>
      <c r="BE54" t="s">
        <v>230</v>
      </c>
      <c r="BF54" t="s">
        <v>221</v>
      </c>
      <c r="BG54" t="s">
        <v>221</v>
      </c>
      <c r="BH54">
        <v>1.2</v>
      </c>
      <c r="BI54">
        <v>0.6</v>
      </c>
      <c r="BJ54">
        <v>0.47</v>
      </c>
      <c r="BK54" t="s">
        <v>221</v>
      </c>
      <c r="BL54">
        <v>1</v>
      </c>
      <c r="BM54">
        <v>3</v>
      </c>
      <c r="BN54">
        <v>4</v>
      </c>
      <c r="BO54">
        <v>3</v>
      </c>
      <c r="BP54">
        <v>2</v>
      </c>
      <c r="BQ54">
        <v>5</v>
      </c>
      <c r="BR54">
        <v>6</v>
      </c>
      <c r="BS54">
        <v>2</v>
      </c>
      <c r="BT54">
        <v>3</v>
      </c>
      <c r="BU54">
        <v>5</v>
      </c>
      <c r="BV54">
        <v>4</v>
      </c>
      <c r="BW54">
        <v>3</v>
      </c>
      <c r="BX54">
        <v>4</v>
      </c>
      <c r="BY54">
        <v>3</v>
      </c>
      <c r="BZ54">
        <v>1</v>
      </c>
      <c r="CA54">
        <v>4</v>
      </c>
      <c r="CB54">
        <v>7</v>
      </c>
      <c r="CC54">
        <v>5</v>
      </c>
      <c r="CD54">
        <v>2</v>
      </c>
      <c r="CE54">
        <v>1</v>
      </c>
      <c r="CF54">
        <v>6</v>
      </c>
      <c r="CG54">
        <v>2</v>
      </c>
      <c r="CH54">
        <v>1</v>
      </c>
      <c r="CI54">
        <v>5</v>
      </c>
      <c r="CJ54">
        <v>4</v>
      </c>
      <c r="CK54">
        <v>2</v>
      </c>
      <c r="CL54">
        <v>4</v>
      </c>
      <c r="CM54">
        <v>5</v>
      </c>
      <c r="CN54" t="s">
        <v>298</v>
      </c>
      <c r="CO54">
        <v>2</v>
      </c>
      <c r="CP54">
        <v>5</v>
      </c>
      <c r="CQ54">
        <v>2</v>
      </c>
      <c r="CR54">
        <v>2</v>
      </c>
      <c r="CS54">
        <v>2</v>
      </c>
      <c r="CT54">
        <v>5</v>
      </c>
      <c r="CU54">
        <v>5</v>
      </c>
      <c r="CV54">
        <v>2</v>
      </c>
      <c r="CW54">
        <v>2</v>
      </c>
      <c r="CX54">
        <v>3</v>
      </c>
      <c r="CY54">
        <v>3</v>
      </c>
      <c r="CZ54">
        <v>1</v>
      </c>
      <c r="DA54">
        <v>3</v>
      </c>
      <c r="DB54">
        <v>1</v>
      </c>
      <c r="DC54">
        <v>2</v>
      </c>
      <c r="DD54">
        <v>3</v>
      </c>
      <c r="DE54">
        <v>6</v>
      </c>
      <c r="DF54">
        <v>3</v>
      </c>
      <c r="DG54">
        <v>3</v>
      </c>
      <c r="DH54" t="s">
        <v>299</v>
      </c>
      <c r="DI54"/>
      <c r="DJ54"/>
      <c r="DK54"/>
      <c r="DL54"/>
      <c r="DM54"/>
      <c r="DN54"/>
      <c r="DO54"/>
      <c r="DP54"/>
      <c r="DQ54"/>
      <c r="DR54"/>
      <c r="DS54"/>
    </row>
    <row r="55" spans="1:123" s="12" customFormat="1" ht="11.25" customHeight="1">
      <c r="A55" s="64">
        <v>43690.407164351855</v>
      </c>
      <c r="B55" s="65" t="s">
        <v>78</v>
      </c>
      <c r="C55" s="10">
        <f t="shared" si="1"/>
        <v>54</v>
      </c>
      <c r="D55" s="73" t="s">
        <v>139</v>
      </c>
      <c r="E55" s="65" t="s">
        <v>119</v>
      </c>
      <c r="F55" s="72">
        <v>14</v>
      </c>
      <c r="G55" s="65">
        <v>23.1</v>
      </c>
      <c r="H55" s="65">
        <v>56.5</v>
      </c>
      <c r="I55" s="65">
        <v>666</v>
      </c>
      <c r="J55" s="65">
        <v>0.8</v>
      </c>
      <c r="K55" s="65">
        <v>85</v>
      </c>
      <c r="L55" s="66">
        <v>0.33</v>
      </c>
      <c r="M55" s="81">
        <v>23.457999999999998</v>
      </c>
      <c r="N55" s="65">
        <v>0.01</v>
      </c>
      <c r="O55" s="65">
        <v>57.3</v>
      </c>
      <c r="P55" s="66">
        <v>0</v>
      </c>
      <c r="Q55" s="11"/>
      <c r="R55" s="66">
        <v>275</v>
      </c>
      <c r="S55" s="66">
        <v>195</v>
      </c>
      <c r="T55" s="66">
        <v>143</v>
      </c>
      <c r="U55" s="11"/>
      <c r="V55" s="24">
        <f t="shared" si="2"/>
        <v>235</v>
      </c>
      <c r="W55" s="11"/>
      <c r="X55" s="66">
        <v>2.7</v>
      </c>
      <c r="Y55" s="66">
        <v>0.3</v>
      </c>
      <c r="Z55" s="66">
        <v>3</v>
      </c>
      <c r="AA55" s="66">
        <v>3.3</v>
      </c>
      <c r="AB55" s="66">
        <v>6</v>
      </c>
      <c r="AC55" s="66"/>
      <c r="AD55" s="66">
        <v>7</v>
      </c>
      <c r="AE55" s="11"/>
      <c r="AF55" s="89" t="s">
        <v>251</v>
      </c>
      <c r="AG55" t="s">
        <v>211</v>
      </c>
      <c r="AH55" t="s">
        <v>212</v>
      </c>
      <c r="AI55" t="s">
        <v>212</v>
      </c>
      <c r="AJ55" t="s">
        <v>211</v>
      </c>
      <c r="AK55">
        <v>0.33</v>
      </c>
      <c r="AL55" t="s">
        <v>281</v>
      </c>
      <c r="AM55" t="s">
        <v>275</v>
      </c>
      <c r="AN55" t="s">
        <v>320</v>
      </c>
      <c r="AO55" t="s">
        <v>221</v>
      </c>
      <c r="AP55" t="s">
        <v>217</v>
      </c>
      <c r="AQ55" t="s">
        <v>227</v>
      </c>
      <c r="AR55" t="s">
        <v>219</v>
      </c>
      <c r="AS55" t="s">
        <v>219</v>
      </c>
      <c r="AT55" t="s">
        <v>238</v>
      </c>
      <c r="AU55" t="s">
        <v>212</v>
      </c>
      <c r="AV55">
        <v>275</v>
      </c>
      <c r="AW55">
        <v>195</v>
      </c>
      <c r="AX55">
        <v>143</v>
      </c>
      <c r="AY55">
        <f t="shared" si="0"/>
        <v>204.33333333333334</v>
      </c>
      <c r="AZ55" t="s">
        <v>211</v>
      </c>
      <c r="BA55">
        <v>2.1</v>
      </c>
      <c r="BB55">
        <v>0.1</v>
      </c>
      <c r="BC55" t="s">
        <v>211</v>
      </c>
      <c r="BD55">
        <v>2</v>
      </c>
      <c r="BE55" t="s">
        <v>222</v>
      </c>
      <c r="BF55" t="s">
        <v>221</v>
      </c>
      <c r="BG55" t="s">
        <v>221</v>
      </c>
      <c r="BH55">
        <v>1.67</v>
      </c>
      <c r="BI55">
        <v>0.73</v>
      </c>
      <c r="BJ55">
        <v>0.97</v>
      </c>
      <c r="BK55" t="s">
        <v>221</v>
      </c>
      <c r="BL55">
        <v>2</v>
      </c>
      <c r="BM55">
        <v>3</v>
      </c>
      <c r="BN55">
        <v>4</v>
      </c>
      <c r="BO55">
        <v>2</v>
      </c>
      <c r="BP55">
        <v>2</v>
      </c>
      <c r="BQ55">
        <v>4</v>
      </c>
      <c r="BR55">
        <v>7</v>
      </c>
      <c r="BS55">
        <v>2</v>
      </c>
      <c r="BT55">
        <v>2</v>
      </c>
      <c r="BU55">
        <v>6</v>
      </c>
      <c r="BV55">
        <v>6</v>
      </c>
      <c r="BW55">
        <v>6</v>
      </c>
      <c r="BX55">
        <v>2</v>
      </c>
      <c r="BY55">
        <v>2</v>
      </c>
      <c r="BZ55">
        <v>2</v>
      </c>
      <c r="CA55">
        <v>6</v>
      </c>
      <c r="CB55">
        <v>1</v>
      </c>
      <c r="CC55">
        <v>1</v>
      </c>
      <c r="CD55">
        <v>1</v>
      </c>
      <c r="CE55">
        <v>1</v>
      </c>
      <c r="CF55">
        <v>5</v>
      </c>
      <c r="CG55">
        <v>1</v>
      </c>
      <c r="CH55">
        <v>2</v>
      </c>
      <c r="CI55">
        <v>5</v>
      </c>
      <c r="CJ55">
        <v>1</v>
      </c>
      <c r="CK55">
        <v>6</v>
      </c>
      <c r="CL55">
        <v>1</v>
      </c>
      <c r="CM55">
        <v>1</v>
      </c>
      <c r="CN55"/>
      <c r="CO55">
        <v>2</v>
      </c>
      <c r="CP55">
        <v>6</v>
      </c>
      <c r="CQ55">
        <v>6</v>
      </c>
      <c r="CR55">
        <v>1</v>
      </c>
      <c r="CS55">
        <v>2</v>
      </c>
      <c r="CT55">
        <v>6</v>
      </c>
      <c r="CU55">
        <v>6</v>
      </c>
      <c r="CV55">
        <v>2</v>
      </c>
      <c r="CW55">
        <v>2</v>
      </c>
      <c r="CX55">
        <v>2</v>
      </c>
      <c r="CY55">
        <v>3</v>
      </c>
      <c r="CZ55">
        <v>2</v>
      </c>
      <c r="DA55">
        <v>3</v>
      </c>
      <c r="DB55">
        <v>1</v>
      </c>
      <c r="DC55">
        <v>3</v>
      </c>
      <c r="DD55">
        <v>4</v>
      </c>
      <c r="DE55">
        <v>3</v>
      </c>
      <c r="DF55">
        <v>3</v>
      </c>
      <c r="DG55">
        <v>2</v>
      </c>
      <c r="DH55" t="s">
        <v>321</v>
      </c>
      <c r="DI55"/>
      <c r="DJ55"/>
      <c r="DK55"/>
      <c r="DL55"/>
      <c r="DM55"/>
      <c r="DN55"/>
      <c r="DO55"/>
      <c r="DP55"/>
      <c r="DQ55"/>
      <c r="DR55"/>
      <c r="DS55"/>
    </row>
    <row r="56" spans="1:123" s="12" customFormat="1">
      <c r="A56" s="64">
        <v>43690.412638888891</v>
      </c>
      <c r="B56" s="65" t="s">
        <v>79</v>
      </c>
      <c r="C56" s="10">
        <f t="shared" si="1"/>
        <v>55</v>
      </c>
      <c r="D56" s="73" t="s">
        <v>139</v>
      </c>
      <c r="E56" s="65" t="s">
        <v>119</v>
      </c>
      <c r="F56" s="72">
        <v>14</v>
      </c>
      <c r="G56" s="65">
        <v>23.7</v>
      </c>
      <c r="H56" s="65">
        <v>53.3</v>
      </c>
      <c r="I56" s="65">
        <v>566</v>
      </c>
      <c r="J56" s="65">
        <v>0.8</v>
      </c>
      <c r="K56" s="65">
        <v>80</v>
      </c>
      <c r="L56" s="66">
        <v>0.57000000000000006</v>
      </c>
      <c r="M56" s="81">
        <v>22.890799999999999</v>
      </c>
      <c r="N56" s="65">
        <v>0.04</v>
      </c>
      <c r="O56" s="65">
        <v>50.4</v>
      </c>
      <c r="P56" s="66">
        <v>1.43</v>
      </c>
      <c r="Q56" s="11"/>
      <c r="R56" s="66">
        <v>281</v>
      </c>
      <c r="S56" s="66">
        <v>248</v>
      </c>
      <c r="T56" s="66">
        <v>249</v>
      </c>
      <c r="U56" s="11"/>
      <c r="V56" s="24">
        <f t="shared" si="2"/>
        <v>264.5</v>
      </c>
      <c r="W56" s="11"/>
      <c r="X56" s="66">
        <v>0</v>
      </c>
      <c r="Y56" s="66">
        <v>0</v>
      </c>
      <c r="Z56" s="66">
        <v>10.9</v>
      </c>
      <c r="AA56" s="66">
        <v>10.9</v>
      </c>
      <c r="AB56" s="66">
        <v>10.9</v>
      </c>
      <c r="AC56" s="66"/>
      <c r="AD56" s="66">
        <v>6</v>
      </c>
      <c r="AE56" s="11"/>
      <c r="AF56" s="89" t="s">
        <v>225</v>
      </c>
      <c r="AG56" t="s">
        <v>211</v>
      </c>
      <c r="AH56" t="s">
        <v>212</v>
      </c>
      <c r="AI56" t="s">
        <v>212</v>
      </c>
      <c r="AJ56" t="s">
        <v>211</v>
      </c>
      <c r="AK56">
        <v>0.57000000000000006</v>
      </c>
      <c r="AL56" t="s">
        <v>281</v>
      </c>
      <c r="AM56" t="s">
        <v>275</v>
      </c>
      <c r="AN56" t="s">
        <v>215</v>
      </c>
      <c r="AO56" t="s">
        <v>234</v>
      </c>
      <c r="AP56" t="s">
        <v>217</v>
      </c>
      <c r="AQ56" t="s">
        <v>227</v>
      </c>
      <c r="AR56" t="s">
        <v>219</v>
      </c>
      <c r="AS56" t="s">
        <v>219</v>
      </c>
      <c r="AT56" t="s">
        <v>219</v>
      </c>
      <c r="AU56" t="s">
        <v>211</v>
      </c>
      <c r="AV56">
        <v>281</v>
      </c>
      <c r="AW56">
        <v>248</v>
      </c>
      <c r="AX56">
        <v>249</v>
      </c>
      <c r="AY56">
        <f t="shared" si="0"/>
        <v>259.33333333333331</v>
      </c>
      <c r="AZ56" t="s">
        <v>211</v>
      </c>
      <c r="BA56">
        <v>2.74</v>
      </c>
      <c r="BB56">
        <v>0.3</v>
      </c>
      <c r="BC56" t="s">
        <v>211</v>
      </c>
      <c r="BD56">
        <v>7</v>
      </c>
      <c r="BE56" t="s">
        <v>229</v>
      </c>
      <c r="BF56" t="s">
        <v>221</v>
      </c>
      <c r="BG56" t="s">
        <v>221</v>
      </c>
      <c r="BH56">
        <v>1.8</v>
      </c>
      <c r="BI56">
        <v>0.59</v>
      </c>
      <c r="BJ56">
        <v>0.83</v>
      </c>
      <c r="BK56">
        <v>1.43</v>
      </c>
      <c r="BL56">
        <v>2</v>
      </c>
      <c r="BM56">
        <v>3</v>
      </c>
      <c r="BN56">
        <v>4</v>
      </c>
      <c r="BO56">
        <v>2</v>
      </c>
      <c r="BP56">
        <v>2</v>
      </c>
      <c r="BQ56">
        <v>3</v>
      </c>
      <c r="BR56">
        <v>6</v>
      </c>
      <c r="BS56">
        <v>2</v>
      </c>
      <c r="BT56">
        <v>3</v>
      </c>
      <c r="BU56">
        <v>5</v>
      </c>
      <c r="BV56">
        <v>4</v>
      </c>
      <c r="BW56">
        <v>6</v>
      </c>
      <c r="BX56">
        <v>2</v>
      </c>
      <c r="BY56">
        <v>3</v>
      </c>
      <c r="BZ56">
        <v>2</v>
      </c>
      <c r="CA56">
        <v>3</v>
      </c>
      <c r="CB56">
        <v>1</v>
      </c>
      <c r="CC56">
        <v>3</v>
      </c>
      <c r="CD56">
        <v>2</v>
      </c>
      <c r="CE56">
        <v>1</v>
      </c>
      <c r="CF56">
        <v>6</v>
      </c>
      <c r="CG56">
        <v>1</v>
      </c>
      <c r="CH56">
        <v>2</v>
      </c>
      <c r="CI56">
        <v>5</v>
      </c>
      <c r="CJ56">
        <v>5</v>
      </c>
      <c r="CK56">
        <v>6</v>
      </c>
      <c r="CL56">
        <v>2</v>
      </c>
      <c r="CM56">
        <v>1</v>
      </c>
      <c r="CN56"/>
      <c r="CO56">
        <v>2</v>
      </c>
      <c r="CP56">
        <v>5</v>
      </c>
      <c r="CQ56">
        <v>4</v>
      </c>
      <c r="CR56">
        <v>2</v>
      </c>
      <c r="CS56">
        <v>3</v>
      </c>
      <c r="CT56">
        <v>3</v>
      </c>
      <c r="CU56">
        <v>5</v>
      </c>
      <c r="CV56">
        <v>3</v>
      </c>
      <c r="CW56">
        <v>3</v>
      </c>
      <c r="CX56">
        <v>2</v>
      </c>
      <c r="CY56">
        <v>6</v>
      </c>
      <c r="CZ56">
        <v>2</v>
      </c>
      <c r="DA56">
        <v>3</v>
      </c>
      <c r="DB56">
        <v>2</v>
      </c>
      <c r="DC56">
        <v>6</v>
      </c>
      <c r="DD56">
        <v>4</v>
      </c>
      <c r="DE56">
        <v>6</v>
      </c>
      <c r="DF56">
        <v>4</v>
      </c>
      <c r="DG56">
        <v>2</v>
      </c>
      <c r="DH56" t="s">
        <v>322</v>
      </c>
      <c r="DI56"/>
      <c r="DJ56"/>
      <c r="DK56"/>
      <c r="DL56"/>
      <c r="DM56"/>
      <c r="DN56"/>
      <c r="DO56"/>
      <c r="DP56"/>
      <c r="DQ56"/>
      <c r="DR56"/>
      <c r="DS56"/>
    </row>
    <row r="57" spans="1:123" s="12" customFormat="1">
      <c r="A57" s="64">
        <v>43690.423194444447</v>
      </c>
      <c r="B57" s="65" t="s">
        <v>80</v>
      </c>
      <c r="C57" s="10">
        <f t="shared" si="1"/>
        <v>56</v>
      </c>
      <c r="D57" s="73" t="s">
        <v>139</v>
      </c>
      <c r="E57" s="65" t="s">
        <v>119</v>
      </c>
      <c r="F57" s="72">
        <v>14</v>
      </c>
      <c r="G57" s="65">
        <v>24</v>
      </c>
      <c r="H57" s="65">
        <v>53</v>
      </c>
      <c r="I57" s="65">
        <v>616</v>
      </c>
      <c r="J57" s="65">
        <v>0.8</v>
      </c>
      <c r="K57" s="65">
        <v>79</v>
      </c>
      <c r="L57" s="66">
        <v>0.57000000000000006</v>
      </c>
      <c r="M57" s="81">
        <v>22.820799999999998</v>
      </c>
      <c r="N57" s="65">
        <v>0.04</v>
      </c>
      <c r="O57" s="65">
        <v>51.1</v>
      </c>
      <c r="P57" s="66">
        <v>0</v>
      </c>
      <c r="Q57" s="11"/>
      <c r="R57" s="66">
        <v>193</v>
      </c>
      <c r="S57" s="66">
        <v>294</v>
      </c>
      <c r="T57" s="66">
        <v>258</v>
      </c>
      <c r="U57" s="11"/>
      <c r="V57" s="24">
        <f t="shared" si="2"/>
        <v>243.5</v>
      </c>
      <c r="W57" s="11"/>
      <c r="X57" s="66">
        <v>0</v>
      </c>
      <c r="Y57" s="66">
        <v>0.6</v>
      </c>
      <c r="Z57" s="66">
        <v>6.2</v>
      </c>
      <c r="AA57" s="66">
        <v>6.8</v>
      </c>
      <c r="AB57" s="66">
        <v>6.8</v>
      </c>
      <c r="AC57" s="66"/>
      <c r="AD57" s="66">
        <v>6</v>
      </c>
      <c r="AE57" s="11"/>
      <c r="AF57" s="89" t="s">
        <v>225</v>
      </c>
      <c r="AG57" t="s">
        <v>211</v>
      </c>
      <c r="AH57" t="s">
        <v>212</v>
      </c>
      <c r="AI57" t="s">
        <v>212</v>
      </c>
      <c r="AJ57" t="s">
        <v>211</v>
      </c>
      <c r="AK57">
        <v>0.57000000000000006</v>
      </c>
      <c r="AL57" t="s">
        <v>281</v>
      </c>
      <c r="AM57" t="s">
        <v>275</v>
      </c>
      <c r="AN57" t="s">
        <v>215</v>
      </c>
      <c r="AO57" t="s">
        <v>234</v>
      </c>
      <c r="AP57" t="s">
        <v>217</v>
      </c>
      <c r="AQ57" t="s">
        <v>227</v>
      </c>
      <c r="AR57" t="s">
        <v>219</v>
      </c>
      <c r="AS57" t="s">
        <v>219</v>
      </c>
      <c r="AT57" t="s">
        <v>219</v>
      </c>
      <c r="AU57" t="s">
        <v>211</v>
      </c>
      <c r="AV57">
        <v>193</v>
      </c>
      <c r="AW57">
        <v>294</v>
      </c>
      <c r="AX57">
        <v>258</v>
      </c>
      <c r="AY57">
        <f t="shared" si="0"/>
        <v>248.33333333333334</v>
      </c>
      <c r="AZ57" t="s">
        <v>211</v>
      </c>
      <c r="BA57">
        <v>2.74</v>
      </c>
      <c r="BB57">
        <v>0.5</v>
      </c>
      <c r="BC57" t="s">
        <v>211</v>
      </c>
      <c r="BD57">
        <v>8.5</v>
      </c>
      <c r="BE57" t="s">
        <v>229</v>
      </c>
      <c r="BF57" t="s">
        <v>221</v>
      </c>
      <c r="BG57" t="s">
        <v>221</v>
      </c>
      <c r="BH57">
        <v>1.8</v>
      </c>
      <c r="BI57">
        <v>0.59</v>
      </c>
      <c r="BJ57">
        <v>0.83</v>
      </c>
      <c r="BK57" t="s">
        <v>221</v>
      </c>
      <c r="BL57">
        <v>2</v>
      </c>
      <c r="BM57">
        <v>2</v>
      </c>
      <c r="BN57">
        <v>4</v>
      </c>
      <c r="BO57">
        <v>3</v>
      </c>
      <c r="BP57">
        <v>3</v>
      </c>
      <c r="BQ57">
        <v>4</v>
      </c>
      <c r="BR57">
        <v>6</v>
      </c>
      <c r="BS57">
        <v>2</v>
      </c>
      <c r="BT57">
        <v>3</v>
      </c>
      <c r="BU57">
        <v>6</v>
      </c>
      <c r="BV57">
        <v>6</v>
      </c>
      <c r="BW57">
        <v>6</v>
      </c>
      <c r="BX57">
        <v>3</v>
      </c>
      <c r="BY57">
        <v>2</v>
      </c>
      <c r="BZ57">
        <v>1</v>
      </c>
      <c r="CA57">
        <v>6</v>
      </c>
      <c r="CB57">
        <v>4</v>
      </c>
      <c r="CC57">
        <v>4</v>
      </c>
      <c r="CD57">
        <v>2</v>
      </c>
      <c r="CE57">
        <v>1</v>
      </c>
      <c r="CF57">
        <v>3</v>
      </c>
      <c r="CG57">
        <v>1</v>
      </c>
      <c r="CH57">
        <v>2</v>
      </c>
      <c r="CI57">
        <v>6</v>
      </c>
      <c r="CJ57">
        <v>6</v>
      </c>
      <c r="CK57">
        <v>5</v>
      </c>
      <c r="CL57">
        <v>4</v>
      </c>
      <c r="CM57">
        <v>1</v>
      </c>
      <c r="CN57"/>
      <c r="CO57">
        <v>2</v>
      </c>
      <c r="CP57">
        <v>4</v>
      </c>
      <c r="CQ57">
        <v>5</v>
      </c>
      <c r="CR57">
        <v>2</v>
      </c>
      <c r="CS57">
        <v>3</v>
      </c>
      <c r="CT57">
        <v>3</v>
      </c>
      <c r="CU57">
        <v>4</v>
      </c>
      <c r="CV57">
        <v>2</v>
      </c>
      <c r="CW57">
        <v>3</v>
      </c>
      <c r="CX57">
        <v>1</v>
      </c>
      <c r="CY57">
        <v>4</v>
      </c>
      <c r="CZ57">
        <v>2</v>
      </c>
      <c r="DA57">
        <v>3</v>
      </c>
      <c r="DB57">
        <v>2</v>
      </c>
      <c r="DC57">
        <v>3</v>
      </c>
      <c r="DD57">
        <v>3</v>
      </c>
      <c r="DE57">
        <v>4</v>
      </c>
      <c r="DF57">
        <v>3</v>
      </c>
      <c r="DG57">
        <v>3</v>
      </c>
      <c r="DH57" t="s">
        <v>323</v>
      </c>
      <c r="DI57"/>
      <c r="DJ57"/>
      <c r="DK57"/>
      <c r="DL57"/>
      <c r="DM57"/>
      <c r="DN57"/>
      <c r="DO57"/>
      <c r="DP57"/>
      <c r="DQ57"/>
      <c r="DR57"/>
      <c r="DS57"/>
    </row>
    <row r="58" spans="1:123" s="12" customFormat="1">
      <c r="A58" s="64">
        <v>43690.432430555556</v>
      </c>
      <c r="B58" s="65" t="s">
        <v>81</v>
      </c>
      <c r="C58" s="10">
        <f t="shared" si="1"/>
        <v>57</v>
      </c>
      <c r="D58" s="73" t="s">
        <v>139</v>
      </c>
      <c r="E58" s="65" t="s">
        <v>119</v>
      </c>
      <c r="F58" s="72">
        <v>14</v>
      </c>
      <c r="G58" s="65">
        <v>24</v>
      </c>
      <c r="H58" s="65">
        <v>54.1</v>
      </c>
      <c r="I58" s="65">
        <v>634</v>
      </c>
      <c r="J58" s="65">
        <v>0.8</v>
      </c>
      <c r="K58" s="65">
        <v>80</v>
      </c>
      <c r="L58" s="66">
        <v>0.43000000000000005</v>
      </c>
      <c r="M58" s="81">
        <v>22.952100000000002</v>
      </c>
      <c r="N58" s="65">
        <v>0.02</v>
      </c>
      <c r="O58" s="65">
        <v>51.8</v>
      </c>
      <c r="P58" s="66">
        <v>0</v>
      </c>
      <c r="Q58" s="11"/>
      <c r="R58" s="66">
        <v>372</v>
      </c>
      <c r="S58" s="66">
        <v>418</v>
      </c>
      <c r="T58" s="66">
        <v>397</v>
      </c>
      <c r="U58" s="11"/>
      <c r="V58" s="24">
        <f t="shared" si="2"/>
        <v>395</v>
      </c>
      <c r="W58" s="11"/>
      <c r="X58" s="66">
        <v>0.2</v>
      </c>
      <c r="Y58" s="66">
        <v>0</v>
      </c>
      <c r="Z58" s="66">
        <v>8.8000000000000007</v>
      </c>
      <c r="AA58" s="66">
        <v>8.8000000000000007</v>
      </c>
      <c r="AB58" s="66">
        <v>9</v>
      </c>
      <c r="AC58" s="66"/>
      <c r="AD58" s="66">
        <v>6</v>
      </c>
      <c r="AE58" s="11"/>
      <c r="AF58" s="89" t="s">
        <v>225</v>
      </c>
      <c r="AG58" t="s">
        <v>211</v>
      </c>
      <c r="AH58" t="s">
        <v>212</v>
      </c>
      <c r="AI58" t="s">
        <v>212</v>
      </c>
      <c r="AJ58" t="s">
        <v>211</v>
      </c>
      <c r="AK58">
        <v>0.43000000000000005</v>
      </c>
      <c r="AL58" t="s">
        <v>281</v>
      </c>
      <c r="AM58" t="s">
        <v>275</v>
      </c>
      <c r="AN58" t="s">
        <v>215</v>
      </c>
      <c r="AO58" t="s">
        <v>234</v>
      </c>
      <c r="AP58" t="s">
        <v>217</v>
      </c>
      <c r="AQ58" t="s">
        <v>227</v>
      </c>
      <c r="AR58" t="s">
        <v>219</v>
      </c>
      <c r="AS58" t="s">
        <v>219</v>
      </c>
      <c r="AT58" t="s">
        <v>219</v>
      </c>
      <c r="AU58" t="s">
        <v>211</v>
      </c>
      <c r="AV58">
        <v>372</v>
      </c>
      <c r="AW58">
        <v>418</v>
      </c>
      <c r="AX58">
        <v>397</v>
      </c>
      <c r="AY58">
        <f t="shared" si="0"/>
        <v>395.66666666666669</v>
      </c>
      <c r="AZ58" t="s">
        <v>211</v>
      </c>
      <c r="BA58">
        <v>2.74</v>
      </c>
      <c r="BB58">
        <v>0.5</v>
      </c>
      <c r="BC58" t="s">
        <v>211</v>
      </c>
      <c r="BD58">
        <v>8.5</v>
      </c>
      <c r="BE58" t="s">
        <v>229</v>
      </c>
      <c r="BF58" t="s">
        <v>221</v>
      </c>
      <c r="BG58" t="s">
        <v>221</v>
      </c>
      <c r="BH58">
        <v>1.8</v>
      </c>
      <c r="BI58">
        <v>0.59</v>
      </c>
      <c r="BJ58">
        <v>0.83</v>
      </c>
      <c r="BK58" t="s">
        <v>221</v>
      </c>
      <c r="BL58">
        <v>2</v>
      </c>
      <c r="BM58">
        <v>2</v>
      </c>
      <c r="BN58">
        <v>4</v>
      </c>
      <c r="BO58">
        <v>3</v>
      </c>
      <c r="BP58">
        <v>3</v>
      </c>
      <c r="BQ58">
        <v>4</v>
      </c>
      <c r="BR58">
        <v>6</v>
      </c>
      <c r="BS58">
        <v>2</v>
      </c>
      <c r="BT58">
        <v>3</v>
      </c>
      <c r="BU58">
        <v>3</v>
      </c>
      <c r="BV58">
        <v>3</v>
      </c>
      <c r="BW58">
        <v>2</v>
      </c>
      <c r="BX58">
        <v>1</v>
      </c>
      <c r="BY58">
        <v>1</v>
      </c>
      <c r="BZ58">
        <v>1</v>
      </c>
      <c r="CA58">
        <v>6</v>
      </c>
      <c r="CB58">
        <v>5</v>
      </c>
      <c r="CC58">
        <v>5</v>
      </c>
      <c r="CD58">
        <v>2</v>
      </c>
      <c r="CE58">
        <v>1</v>
      </c>
      <c r="CF58">
        <v>6</v>
      </c>
      <c r="CG58">
        <v>1</v>
      </c>
      <c r="CH58">
        <v>3</v>
      </c>
      <c r="CI58">
        <v>2</v>
      </c>
      <c r="CJ58">
        <v>3</v>
      </c>
      <c r="CK58">
        <v>4</v>
      </c>
      <c r="CL58">
        <v>3</v>
      </c>
      <c r="CM58">
        <v>1</v>
      </c>
      <c r="CN58"/>
      <c r="CO58">
        <v>2</v>
      </c>
      <c r="CP58">
        <v>3</v>
      </c>
      <c r="CQ58">
        <v>4</v>
      </c>
      <c r="CR58">
        <v>2</v>
      </c>
      <c r="CS58">
        <v>3</v>
      </c>
      <c r="CT58">
        <v>4</v>
      </c>
      <c r="CU58">
        <v>2</v>
      </c>
      <c r="CV58">
        <v>1</v>
      </c>
      <c r="CW58">
        <v>3</v>
      </c>
      <c r="CX58">
        <v>1</v>
      </c>
      <c r="CY58">
        <v>2</v>
      </c>
      <c r="CZ58">
        <v>2</v>
      </c>
      <c r="DA58">
        <v>2</v>
      </c>
      <c r="DB58">
        <v>3</v>
      </c>
      <c r="DC58">
        <v>2</v>
      </c>
      <c r="DD58">
        <v>3</v>
      </c>
      <c r="DE58">
        <v>4</v>
      </c>
      <c r="DF58">
        <v>3</v>
      </c>
      <c r="DG58">
        <v>4</v>
      </c>
      <c r="DH58" t="s">
        <v>223</v>
      </c>
      <c r="DI58"/>
      <c r="DJ58"/>
      <c r="DK58"/>
      <c r="DL58"/>
      <c r="DM58"/>
      <c r="DN58"/>
      <c r="DO58"/>
      <c r="DP58"/>
      <c r="DQ58"/>
      <c r="DR58"/>
      <c r="DS58"/>
    </row>
    <row r="59" spans="1:123" s="12" customFormat="1">
      <c r="A59" s="64">
        <v>43690.442870370367</v>
      </c>
      <c r="B59" s="65" t="s">
        <v>82</v>
      </c>
      <c r="C59" s="10">
        <f t="shared" si="1"/>
        <v>58</v>
      </c>
      <c r="D59" s="73" t="s">
        <v>139</v>
      </c>
      <c r="E59" s="65" t="s">
        <v>119</v>
      </c>
      <c r="F59" s="72">
        <v>14</v>
      </c>
      <c r="G59" s="65">
        <v>23.7</v>
      </c>
      <c r="H59" s="65">
        <v>55</v>
      </c>
      <c r="I59" s="65">
        <v>756</v>
      </c>
      <c r="J59" s="65">
        <v>0.8</v>
      </c>
      <c r="K59" s="65">
        <v>80</v>
      </c>
      <c r="L59" s="66">
        <v>0.47000000000000008</v>
      </c>
      <c r="M59" s="81">
        <v>22.263100000000001</v>
      </c>
      <c r="N59" s="65">
        <v>0.02</v>
      </c>
      <c r="O59" s="65">
        <v>53.1</v>
      </c>
      <c r="P59" s="66">
        <v>1.43</v>
      </c>
      <c r="Q59" s="11"/>
      <c r="R59" s="66">
        <v>390</v>
      </c>
      <c r="S59" s="66">
        <v>350</v>
      </c>
      <c r="T59" s="66">
        <v>300</v>
      </c>
      <c r="U59" s="11"/>
      <c r="V59" s="24">
        <f t="shared" si="2"/>
        <v>370</v>
      </c>
      <c r="W59" s="11"/>
      <c r="X59" s="66">
        <v>0</v>
      </c>
      <c r="Y59" s="66">
        <v>0</v>
      </c>
      <c r="Z59" s="66">
        <v>5</v>
      </c>
      <c r="AA59" s="66">
        <v>5</v>
      </c>
      <c r="AB59" s="66">
        <v>5</v>
      </c>
      <c r="AC59" s="66"/>
      <c r="AD59" s="66">
        <v>4</v>
      </c>
      <c r="AE59" s="11"/>
      <c r="AF59" s="89" t="s">
        <v>225</v>
      </c>
      <c r="AG59" t="s">
        <v>211</v>
      </c>
      <c r="AH59" t="s">
        <v>212</v>
      </c>
      <c r="AI59" t="s">
        <v>212</v>
      </c>
      <c r="AJ59" t="s">
        <v>211</v>
      </c>
      <c r="AK59">
        <v>0.47000000000000008</v>
      </c>
      <c r="AL59" t="s">
        <v>281</v>
      </c>
      <c r="AM59" t="s">
        <v>275</v>
      </c>
      <c r="AN59" t="s">
        <v>215</v>
      </c>
      <c r="AO59" t="s">
        <v>234</v>
      </c>
      <c r="AP59" t="s">
        <v>217</v>
      </c>
      <c r="AQ59" t="s">
        <v>227</v>
      </c>
      <c r="AR59" t="s">
        <v>324</v>
      </c>
      <c r="AS59" t="s">
        <v>214</v>
      </c>
      <c r="AT59" t="s">
        <v>214</v>
      </c>
      <c r="AU59" t="s">
        <v>211</v>
      </c>
      <c r="AV59">
        <v>390</v>
      </c>
      <c r="AW59">
        <v>350</v>
      </c>
      <c r="AX59">
        <v>300</v>
      </c>
      <c r="AY59">
        <f t="shared" si="0"/>
        <v>346.66666666666669</v>
      </c>
      <c r="AZ59" t="s">
        <v>211</v>
      </c>
      <c r="BA59">
        <v>2.74</v>
      </c>
      <c r="BB59">
        <v>4.5</v>
      </c>
      <c r="BC59" t="s">
        <v>211</v>
      </c>
      <c r="BD59">
        <v>9</v>
      </c>
      <c r="BE59" t="s">
        <v>222</v>
      </c>
      <c r="BF59" t="s">
        <v>221</v>
      </c>
      <c r="BG59" t="s">
        <v>221</v>
      </c>
      <c r="BH59">
        <v>1.8</v>
      </c>
      <c r="BI59">
        <v>0.59</v>
      </c>
      <c r="BJ59">
        <v>0.83</v>
      </c>
      <c r="BK59">
        <v>1.43</v>
      </c>
      <c r="BL59">
        <v>2</v>
      </c>
      <c r="BM59">
        <v>3</v>
      </c>
      <c r="BN59">
        <v>4</v>
      </c>
      <c r="BO59">
        <v>3</v>
      </c>
      <c r="BP59">
        <v>2</v>
      </c>
      <c r="BQ59">
        <v>2</v>
      </c>
      <c r="BR59">
        <v>4</v>
      </c>
      <c r="BS59">
        <v>2</v>
      </c>
      <c r="BT59">
        <v>3</v>
      </c>
      <c r="BU59">
        <v>4</v>
      </c>
      <c r="BV59">
        <v>6</v>
      </c>
      <c r="BW59">
        <v>6</v>
      </c>
      <c r="BX59">
        <v>4</v>
      </c>
      <c r="BY59">
        <v>3</v>
      </c>
      <c r="BZ59">
        <v>1</v>
      </c>
      <c r="CA59">
        <v>5</v>
      </c>
      <c r="CB59">
        <v>2</v>
      </c>
      <c r="CC59">
        <v>2</v>
      </c>
      <c r="CD59">
        <v>2</v>
      </c>
      <c r="CE59">
        <v>1</v>
      </c>
      <c r="CF59">
        <v>6</v>
      </c>
      <c r="CG59">
        <v>1</v>
      </c>
      <c r="CH59">
        <v>3</v>
      </c>
      <c r="CI59">
        <v>3</v>
      </c>
      <c r="CJ59">
        <v>1</v>
      </c>
      <c r="CK59">
        <v>2</v>
      </c>
      <c r="CL59">
        <v>1</v>
      </c>
      <c r="CM59">
        <v>1</v>
      </c>
      <c r="CN59" t="s">
        <v>223</v>
      </c>
      <c r="CO59">
        <v>4</v>
      </c>
      <c r="CP59">
        <v>1</v>
      </c>
      <c r="CQ59">
        <v>6</v>
      </c>
      <c r="CR59">
        <v>2</v>
      </c>
      <c r="CS59">
        <v>3</v>
      </c>
      <c r="CT59">
        <v>1</v>
      </c>
      <c r="CU59">
        <v>2</v>
      </c>
      <c r="CV59">
        <v>3</v>
      </c>
      <c r="CW59">
        <v>3</v>
      </c>
      <c r="CX59" t="s">
        <v>325</v>
      </c>
      <c r="CY59">
        <v>4</v>
      </c>
      <c r="CZ59">
        <v>2</v>
      </c>
      <c r="DA59">
        <v>2</v>
      </c>
      <c r="DB59">
        <v>1</v>
      </c>
      <c r="DC59">
        <v>4</v>
      </c>
      <c r="DD59">
        <v>4</v>
      </c>
      <c r="DE59">
        <v>4</v>
      </c>
      <c r="DF59">
        <v>3</v>
      </c>
      <c r="DG59">
        <v>2</v>
      </c>
      <c r="DH59" t="s">
        <v>223</v>
      </c>
      <c r="DI59" t="s">
        <v>223</v>
      </c>
      <c r="DJ59"/>
      <c r="DK59"/>
      <c r="DL59"/>
      <c r="DM59"/>
      <c r="DN59"/>
      <c r="DO59"/>
      <c r="DP59"/>
      <c r="DQ59"/>
      <c r="DR59"/>
      <c r="DS59"/>
    </row>
    <row r="60" spans="1:123" s="12" customFormat="1">
      <c r="A60" s="64">
        <v>43690.453923611109</v>
      </c>
      <c r="B60" s="65" t="s">
        <v>83</v>
      </c>
      <c r="C60" s="10">
        <f t="shared" si="1"/>
        <v>59</v>
      </c>
      <c r="D60" s="73" t="s">
        <v>139</v>
      </c>
      <c r="E60" s="65" t="s">
        <v>119</v>
      </c>
      <c r="F60" s="72">
        <v>14</v>
      </c>
      <c r="G60" s="65">
        <v>23.9</v>
      </c>
      <c r="H60" s="65">
        <v>54.9</v>
      </c>
      <c r="I60" s="65">
        <v>758</v>
      </c>
      <c r="J60" s="65">
        <v>0.8</v>
      </c>
      <c r="K60" s="65">
        <v>85</v>
      </c>
      <c r="L60" s="66">
        <v>0.39</v>
      </c>
      <c r="M60" s="81">
        <v>23.244399999999999</v>
      </c>
      <c r="N60" s="65">
        <v>0.01</v>
      </c>
      <c r="O60" s="65">
        <v>49.7</v>
      </c>
      <c r="P60" s="66">
        <v>0</v>
      </c>
      <c r="Q60" s="11"/>
      <c r="R60" s="66">
        <v>211</v>
      </c>
      <c r="S60" s="66">
        <v>177</v>
      </c>
      <c r="T60" s="66">
        <v>176</v>
      </c>
      <c r="U60" s="11"/>
      <c r="V60" s="24">
        <f t="shared" si="2"/>
        <v>194</v>
      </c>
      <c r="W60" s="11"/>
      <c r="X60" s="66">
        <v>2.7</v>
      </c>
      <c r="Y60" s="66">
        <v>0</v>
      </c>
      <c r="Z60" s="66">
        <v>6.2</v>
      </c>
      <c r="AA60" s="66">
        <v>6.2</v>
      </c>
      <c r="AB60" s="66">
        <v>8.9</v>
      </c>
      <c r="AC60" s="66"/>
      <c r="AD60" s="66">
        <v>5</v>
      </c>
      <c r="AE60" s="11"/>
      <c r="AF60" s="89" t="s">
        <v>225</v>
      </c>
      <c r="AG60" t="s">
        <v>211</v>
      </c>
      <c r="AH60" t="s">
        <v>212</v>
      </c>
      <c r="AI60" t="s">
        <v>212</v>
      </c>
      <c r="AJ60" t="s">
        <v>211</v>
      </c>
      <c r="AK60">
        <v>0.39</v>
      </c>
      <c r="AL60" t="s">
        <v>281</v>
      </c>
      <c r="AM60" t="s">
        <v>275</v>
      </c>
      <c r="AN60" t="s">
        <v>215</v>
      </c>
      <c r="AO60" t="s">
        <v>234</v>
      </c>
      <c r="AP60" t="s">
        <v>217</v>
      </c>
      <c r="AQ60" t="s">
        <v>227</v>
      </c>
      <c r="AR60" t="s">
        <v>219</v>
      </c>
      <c r="AS60" t="s">
        <v>219</v>
      </c>
      <c r="AT60" t="s">
        <v>221</v>
      </c>
      <c r="AU60" t="s">
        <v>211</v>
      </c>
      <c r="AV60">
        <v>211</v>
      </c>
      <c r="AW60">
        <v>177</v>
      </c>
      <c r="AX60">
        <v>176</v>
      </c>
      <c r="AY60">
        <f t="shared" si="0"/>
        <v>188</v>
      </c>
      <c r="AZ60" t="s">
        <v>211</v>
      </c>
      <c r="BA60">
        <v>2.74</v>
      </c>
      <c r="BB60" t="s">
        <v>221</v>
      </c>
      <c r="BC60" t="s">
        <v>211</v>
      </c>
      <c r="BD60">
        <v>6.3</v>
      </c>
      <c r="BE60" t="s">
        <v>250</v>
      </c>
      <c r="BF60" t="s">
        <v>221</v>
      </c>
      <c r="BG60" t="s">
        <v>221</v>
      </c>
      <c r="BH60">
        <v>1.7</v>
      </c>
      <c r="BI60">
        <v>0.6</v>
      </c>
      <c r="BJ60">
        <v>0.73</v>
      </c>
      <c r="BK60" t="s">
        <v>221</v>
      </c>
      <c r="BL60">
        <v>2</v>
      </c>
      <c r="BM60">
        <v>2</v>
      </c>
      <c r="BN60">
        <v>4</v>
      </c>
      <c r="BO60">
        <v>2</v>
      </c>
      <c r="BP60">
        <v>3</v>
      </c>
      <c r="BQ60">
        <v>4</v>
      </c>
      <c r="BR60">
        <v>5</v>
      </c>
      <c r="BS60">
        <v>3</v>
      </c>
      <c r="BT60">
        <v>3</v>
      </c>
      <c r="BU60">
        <v>4</v>
      </c>
      <c r="BV60">
        <v>4</v>
      </c>
      <c r="BW60">
        <v>4</v>
      </c>
      <c r="BX60">
        <v>4</v>
      </c>
      <c r="BY60">
        <v>3</v>
      </c>
      <c r="BZ60">
        <v>3</v>
      </c>
      <c r="CA60">
        <v>6</v>
      </c>
      <c r="CB60">
        <v>5</v>
      </c>
      <c r="CC60">
        <v>4</v>
      </c>
      <c r="CD60">
        <v>2</v>
      </c>
      <c r="CE60">
        <v>1</v>
      </c>
      <c r="CF60">
        <v>6</v>
      </c>
      <c r="CG60">
        <v>1</v>
      </c>
      <c r="CH60">
        <v>1</v>
      </c>
      <c r="CI60">
        <v>5</v>
      </c>
      <c r="CJ60">
        <v>1</v>
      </c>
      <c r="CK60">
        <v>2</v>
      </c>
      <c r="CL60">
        <v>1</v>
      </c>
      <c r="CM60">
        <v>4</v>
      </c>
      <c r="CN60" t="s">
        <v>223</v>
      </c>
      <c r="CO60">
        <v>3</v>
      </c>
      <c r="CP60">
        <v>2</v>
      </c>
      <c r="CQ60">
        <v>6</v>
      </c>
      <c r="CR60">
        <v>2</v>
      </c>
      <c r="CS60">
        <v>3</v>
      </c>
      <c r="CT60">
        <v>1</v>
      </c>
      <c r="CU60">
        <v>3</v>
      </c>
      <c r="CV60">
        <v>1</v>
      </c>
      <c r="CW60">
        <v>3</v>
      </c>
      <c r="CX60" t="s">
        <v>15</v>
      </c>
      <c r="CY60">
        <v>6</v>
      </c>
      <c r="CZ60">
        <v>2</v>
      </c>
      <c r="DA60">
        <v>3</v>
      </c>
      <c r="DB60">
        <v>1</v>
      </c>
      <c r="DC60">
        <v>3</v>
      </c>
      <c r="DD60">
        <v>2</v>
      </c>
      <c r="DE60">
        <v>3</v>
      </c>
      <c r="DF60">
        <v>3</v>
      </c>
      <c r="DG60">
        <v>1</v>
      </c>
      <c r="DH60" t="s">
        <v>326</v>
      </c>
      <c r="DI60" t="s">
        <v>223</v>
      </c>
      <c r="DJ60"/>
      <c r="DK60"/>
      <c r="DL60"/>
      <c r="DM60"/>
      <c r="DN60"/>
      <c r="DO60"/>
      <c r="DP60"/>
      <c r="DQ60"/>
      <c r="DR60"/>
      <c r="DS60"/>
    </row>
    <row r="61" spans="1:123" s="12" customFormat="1">
      <c r="A61" s="64">
        <v>43690.468275462961</v>
      </c>
      <c r="B61" s="65" t="s">
        <v>84</v>
      </c>
      <c r="C61" s="10">
        <f t="shared" si="1"/>
        <v>60</v>
      </c>
      <c r="D61" s="73" t="s">
        <v>139</v>
      </c>
      <c r="E61" s="65" t="s">
        <v>119</v>
      </c>
      <c r="F61" s="72">
        <v>14</v>
      </c>
      <c r="G61" s="65">
        <v>24.1</v>
      </c>
      <c r="H61" s="65">
        <v>54.8</v>
      </c>
      <c r="I61" s="65">
        <v>755</v>
      </c>
      <c r="J61" s="65">
        <v>0.8</v>
      </c>
      <c r="K61" s="65">
        <v>83</v>
      </c>
      <c r="L61" s="66">
        <v>0.57000000000000006</v>
      </c>
      <c r="M61" s="81">
        <v>22.8812</v>
      </c>
      <c r="N61" s="65">
        <v>0.04</v>
      </c>
      <c r="O61" s="65">
        <v>51.5</v>
      </c>
      <c r="P61" s="66">
        <v>1.43</v>
      </c>
      <c r="Q61" s="11"/>
      <c r="R61" s="66">
        <v>546</v>
      </c>
      <c r="S61" s="66">
        <v>525</v>
      </c>
      <c r="T61" s="66">
        <v>407</v>
      </c>
      <c r="U61" s="11"/>
      <c r="V61" s="24">
        <f t="shared" si="2"/>
        <v>535.5</v>
      </c>
      <c r="W61" s="11"/>
      <c r="X61" s="66">
        <v>0</v>
      </c>
      <c r="Y61" s="66">
        <v>0</v>
      </c>
      <c r="Z61" s="66">
        <v>6.2</v>
      </c>
      <c r="AA61" s="66">
        <v>6.2</v>
      </c>
      <c r="AB61" s="66">
        <v>6.2</v>
      </c>
      <c r="AC61" s="66"/>
      <c r="AD61" s="66">
        <v>7</v>
      </c>
      <c r="AE61" s="11"/>
      <c r="AF61" s="89" t="s">
        <v>225</v>
      </c>
      <c r="AG61" t="s">
        <v>211</v>
      </c>
      <c r="AH61" t="s">
        <v>212</v>
      </c>
      <c r="AI61" t="s">
        <v>212</v>
      </c>
      <c r="AJ61" t="s">
        <v>211</v>
      </c>
      <c r="AK61">
        <v>0.57000000000000006</v>
      </c>
      <c r="AL61" t="s">
        <v>281</v>
      </c>
      <c r="AM61" t="s">
        <v>275</v>
      </c>
      <c r="AN61" t="s">
        <v>215</v>
      </c>
      <c r="AO61" t="s">
        <v>216</v>
      </c>
      <c r="AP61" t="s">
        <v>217</v>
      </c>
      <c r="AQ61" t="s">
        <v>227</v>
      </c>
      <c r="AR61" t="s">
        <v>219</v>
      </c>
      <c r="AS61" t="s">
        <v>219</v>
      </c>
      <c r="AT61" t="s">
        <v>221</v>
      </c>
      <c r="AU61" t="s">
        <v>211</v>
      </c>
      <c r="AV61">
        <v>546</v>
      </c>
      <c r="AW61">
        <v>525</v>
      </c>
      <c r="AX61">
        <v>407</v>
      </c>
      <c r="AY61">
        <f t="shared" si="0"/>
        <v>492.66666666666669</v>
      </c>
      <c r="AZ61" t="s">
        <v>211</v>
      </c>
      <c r="BA61">
        <v>2.74</v>
      </c>
      <c r="BB61" t="s">
        <v>221</v>
      </c>
      <c r="BC61" t="s">
        <v>211</v>
      </c>
      <c r="BD61" t="s">
        <v>221</v>
      </c>
      <c r="BE61" t="s">
        <v>221</v>
      </c>
      <c r="BF61" t="s">
        <v>221</v>
      </c>
      <c r="BG61" t="s">
        <v>221</v>
      </c>
      <c r="BH61">
        <v>1.8</v>
      </c>
      <c r="BI61">
        <v>0.59</v>
      </c>
      <c r="BJ61">
        <v>0.83</v>
      </c>
      <c r="BK61">
        <v>1.43</v>
      </c>
      <c r="BL61">
        <v>2</v>
      </c>
      <c r="BM61">
        <v>4</v>
      </c>
      <c r="BN61">
        <v>4</v>
      </c>
      <c r="BO61">
        <v>3</v>
      </c>
      <c r="BP61">
        <v>3</v>
      </c>
      <c r="BQ61">
        <v>2</v>
      </c>
      <c r="BR61">
        <v>7</v>
      </c>
      <c r="BS61">
        <v>2</v>
      </c>
      <c r="BT61">
        <v>2</v>
      </c>
      <c r="BU61">
        <v>7</v>
      </c>
      <c r="BV61">
        <v>5</v>
      </c>
      <c r="BW61">
        <v>7</v>
      </c>
      <c r="BX61">
        <v>4</v>
      </c>
      <c r="BY61">
        <v>2</v>
      </c>
      <c r="BZ61">
        <v>2</v>
      </c>
      <c r="CA61">
        <v>5</v>
      </c>
      <c r="CB61">
        <v>2</v>
      </c>
      <c r="CC61">
        <v>4</v>
      </c>
      <c r="CD61">
        <v>2</v>
      </c>
      <c r="CE61">
        <v>1</v>
      </c>
      <c r="CF61">
        <v>6</v>
      </c>
      <c r="CG61">
        <v>1</v>
      </c>
      <c r="CH61">
        <v>2</v>
      </c>
      <c r="CI61">
        <v>6</v>
      </c>
      <c r="CJ61">
        <v>6</v>
      </c>
      <c r="CK61">
        <v>3</v>
      </c>
      <c r="CL61">
        <v>4</v>
      </c>
      <c r="CM61">
        <v>1</v>
      </c>
      <c r="CN61" t="s">
        <v>223</v>
      </c>
      <c r="CO61">
        <v>1</v>
      </c>
      <c r="CP61">
        <v>6</v>
      </c>
      <c r="CQ61">
        <v>6</v>
      </c>
      <c r="CR61">
        <v>1</v>
      </c>
      <c r="CS61">
        <v>2</v>
      </c>
      <c r="CT61">
        <v>6</v>
      </c>
      <c r="CU61">
        <v>6</v>
      </c>
      <c r="CV61">
        <v>2</v>
      </c>
      <c r="CW61">
        <v>2</v>
      </c>
      <c r="CX61" t="s">
        <v>257</v>
      </c>
      <c r="CY61">
        <v>6</v>
      </c>
      <c r="CZ61">
        <v>2</v>
      </c>
      <c r="DA61">
        <v>3</v>
      </c>
      <c r="DB61">
        <v>1</v>
      </c>
      <c r="DC61">
        <v>5</v>
      </c>
      <c r="DD61">
        <v>2</v>
      </c>
      <c r="DE61">
        <v>3</v>
      </c>
      <c r="DF61">
        <v>6</v>
      </c>
      <c r="DG61">
        <v>3</v>
      </c>
      <c r="DH61" t="s">
        <v>223</v>
      </c>
      <c r="DI61" t="s">
        <v>223</v>
      </c>
      <c r="DJ61"/>
      <c r="DK61"/>
      <c r="DL61"/>
      <c r="DM61"/>
      <c r="DN61"/>
      <c r="DO61"/>
      <c r="DP61"/>
      <c r="DQ61"/>
      <c r="DR61"/>
      <c r="DS61"/>
    </row>
    <row r="62" spans="1:123" s="12" customFormat="1">
      <c r="A62" s="64">
        <v>43690.472708333335</v>
      </c>
      <c r="B62" s="65" t="s">
        <v>85</v>
      </c>
      <c r="C62" s="10">
        <f t="shared" si="1"/>
        <v>61</v>
      </c>
      <c r="D62" s="73" t="s">
        <v>139</v>
      </c>
      <c r="E62" s="65" t="s">
        <v>119</v>
      </c>
      <c r="F62" s="72">
        <v>14</v>
      </c>
      <c r="G62" s="65">
        <v>23.8</v>
      </c>
      <c r="H62" s="65">
        <v>55.6</v>
      </c>
      <c r="I62" s="65">
        <v>797</v>
      </c>
      <c r="J62" s="65">
        <v>0.8</v>
      </c>
      <c r="K62" s="65">
        <v>85</v>
      </c>
      <c r="L62" s="66">
        <v>0.6</v>
      </c>
      <c r="M62" s="81">
        <v>22.537700000000001</v>
      </c>
      <c r="N62" s="65">
        <v>0.02</v>
      </c>
      <c r="O62" s="65">
        <v>48.1</v>
      </c>
      <c r="P62" s="66">
        <v>1.43</v>
      </c>
      <c r="Q62" s="11"/>
      <c r="R62" s="66">
        <v>85</v>
      </c>
      <c r="S62" s="66">
        <v>101</v>
      </c>
      <c r="T62" s="66">
        <v>307</v>
      </c>
      <c r="U62" s="11"/>
      <c r="V62" s="24">
        <f t="shared" si="2"/>
        <v>93</v>
      </c>
      <c r="W62" s="11"/>
      <c r="X62" s="66">
        <v>1.8</v>
      </c>
      <c r="Y62" s="66">
        <v>0</v>
      </c>
      <c r="Z62" s="66">
        <v>6.3</v>
      </c>
      <c r="AA62" s="66">
        <v>6.3</v>
      </c>
      <c r="AB62" s="66">
        <v>8.1</v>
      </c>
      <c r="AC62" s="66"/>
      <c r="AD62" s="66">
        <v>4</v>
      </c>
      <c r="AE62" s="11"/>
      <c r="AF62" s="89" t="s">
        <v>225</v>
      </c>
      <c r="AG62" t="s">
        <v>211</v>
      </c>
      <c r="AH62" t="s">
        <v>212</v>
      </c>
      <c r="AI62" t="s">
        <v>212</v>
      </c>
      <c r="AJ62" t="s">
        <v>211</v>
      </c>
      <c r="AK62">
        <v>0.6</v>
      </c>
      <c r="AL62" t="s">
        <v>281</v>
      </c>
      <c r="AM62" t="s">
        <v>275</v>
      </c>
      <c r="AN62" t="s">
        <v>215</v>
      </c>
      <c r="AO62" t="s">
        <v>234</v>
      </c>
      <c r="AP62" t="s">
        <v>217</v>
      </c>
      <c r="AQ62" t="s">
        <v>227</v>
      </c>
      <c r="AR62" t="s">
        <v>219</v>
      </c>
      <c r="AS62" t="s">
        <v>219</v>
      </c>
      <c r="AT62" t="s">
        <v>221</v>
      </c>
      <c r="AU62" t="s">
        <v>211</v>
      </c>
      <c r="AV62">
        <v>85</v>
      </c>
      <c r="AW62">
        <v>101</v>
      </c>
      <c r="AX62">
        <v>307</v>
      </c>
      <c r="AY62">
        <f t="shared" si="0"/>
        <v>164.33333333333334</v>
      </c>
      <c r="AZ62" t="s">
        <v>211</v>
      </c>
      <c r="BA62">
        <v>2.74</v>
      </c>
      <c r="BB62" t="s">
        <v>221</v>
      </c>
      <c r="BC62" t="s">
        <v>211</v>
      </c>
      <c r="BD62" t="s">
        <v>221</v>
      </c>
      <c r="BE62" t="s">
        <v>221</v>
      </c>
      <c r="BF62" t="s">
        <v>221</v>
      </c>
      <c r="BG62" t="s">
        <v>221</v>
      </c>
      <c r="BH62">
        <v>1.8</v>
      </c>
      <c r="BI62">
        <v>0.59</v>
      </c>
      <c r="BJ62">
        <v>0.83</v>
      </c>
      <c r="BK62">
        <v>1.43</v>
      </c>
      <c r="BL62">
        <v>1</v>
      </c>
      <c r="BM62">
        <v>3</v>
      </c>
      <c r="BN62">
        <v>3</v>
      </c>
      <c r="BO62">
        <v>3</v>
      </c>
      <c r="BP62">
        <v>2</v>
      </c>
      <c r="BQ62">
        <v>6</v>
      </c>
      <c r="BR62">
        <v>4</v>
      </c>
      <c r="BS62">
        <v>3</v>
      </c>
      <c r="BT62">
        <v>3</v>
      </c>
      <c r="BU62">
        <v>3</v>
      </c>
      <c r="BV62">
        <v>3</v>
      </c>
      <c r="BW62">
        <v>3</v>
      </c>
      <c r="BX62">
        <v>1</v>
      </c>
      <c r="BY62">
        <v>3</v>
      </c>
      <c r="BZ62">
        <v>3</v>
      </c>
      <c r="CA62">
        <v>6</v>
      </c>
      <c r="CB62">
        <v>1</v>
      </c>
      <c r="CC62">
        <v>2</v>
      </c>
      <c r="CD62">
        <v>2</v>
      </c>
      <c r="CE62">
        <v>1</v>
      </c>
      <c r="CF62">
        <v>2</v>
      </c>
      <c r="CG62">
        <v>1</v>
      </c>
      <c r="CH62">
        <v>1</v>
      </c>
      <c r="CI62">
        <v>2</v>
      </c>
      <c r="CJ62">
        <v>2</v>
      </c>
      <c r="CK62">
        <v>1</v>
      </c>
      <c r="CL62">
        <v>2</v>
      </c>
      <c r="CM62">
        <v>1</v>
      </c>
      <c r="CN62" t="s">
        <v>223</v>
      </c>
      <c r="CO62">
        <v>1</v>
      </c>
      <c r="CP62">
        <v>4</v>
      </c>
      <c r="CQ62">
        <v>3</v>
      </c>
      <c r="CR62">
        <v>1</v>
      </c>
      <c r="CS62">
        <v>3</v>
      </c>
      <c r="CT62">
        <v>2</v>
      </c>
      <c r="CU62">
        <v>3</v>
      </c>
      <c r="CV62">
        <v>1</v>
      </c>
      <c r="CW62">
        <v>2</v>
      </c>
      <c r="CX62" t="s">
        <v>235</v>
      </c>
      <c r="CY62">
        <v>4</v>
      </c>
      <c r="CZ62">
        <v>2</v>
      </c>
      <c r="DA62">
        <v>3</v>
      </c>
      <c r="DB62">
        <v>1</v>
      </c>
      <c r="DC62">
        <v>2</v>
      </c>
      <c r="DD62">
        <v>4</v>
      </c>
      <c r="DE62">
        <v>3</v>
      </c>
      <c r="DF62">
        <v>3</v>
      </c>
      <c r="DG62">
        <v>4</v>
      </c>
      <c r="DH62" t="s">
        <v>223</v>
      </c>
      <c r="DI62" t="s">
        <v>223</v>
      </c>
      <c r="DJ62"/>
      <c r="DK62"/>
      <c r="DL62"/>
      <c r="DM62"/>
      <c r="DN62"/>
      <c r="DO62"/>
      <c r="DP62"/>
      <c r="DQ62"/>
      <c r="DR62"/>
      <c r="DS62"/>
    </row>
    <row r="63" spans="1:123" s="12" customFormat="1">
      <c r="A63" s="64">
        <v>43690.47519675926</v>
      </c>
      <c r="B63" s="65" t="s">
        <v>86</v>
      </c>
      <c r="C63" s="10">
        <f t="shared" si="1"/>
        <v>62</v>
      </c>
      <c r="D63" s="73" t="s">
        <v>139</v>
      </c>
      <c r="E63" s="65" t="s">
        <v>119</v>
      </c>
      <c r="F63" s="72">
        <v>14</v>
      </c>
      <c r="G63" s="65">
        <v>23.5</v>
      </c>
      <c r="H63" s="65">
        <v>55.9</v>
      </c>
      <c r="I63" s="65">
        <v>765</v>
      </c>
      <c r="J63" s="65">
        <v>0.8</v>
      </c>
      <c r="K63" s="65">
        <v>80</v>
      </c>
      <c r="L63" s="66">
        <v>0.67</v>
      </c>
      <c r="M63" s="81">
        <v>21.963799999999999</v>
      </c>
      <c r="N63" s="65">
        <v>0.03</v>
      </c>
      <c r="O63" s="65">
        <v>50.1</v>
      </c>
      <c r="P63" s="66">
        <v>1.43</v>
      </c>
      <c r="Q63" s="11"/>
      <c r="R63" s="66">
        <v>462</v>
      </c>
      <c r="S63" s="66">
        <v>320</v>
      </c>
      <c r="T63" s="66">
        <v>272</v>
      </c>
      <c r="U63" s="11"/>
      <c r="V63" s="24">
        <f t="shared" si="2"/>
        <v>391</v>
      </c>
      <c r="W63" s="11"/>
      <c r="X63" s="66">
        <v>0</v>
      </c>
      <c r="Y63" s="66">
        <v>0.1</v>
      </c>
      <c r="Z63" s="66">
        <v>2.9</v>
      </c>
      <c r="AA63" s="66">
        <v>3</v>
      </c>
      <c r="AB63" s="66">
        <v>3</v>
      </c>
      <c r="AC63" s="66"/>
      <c r="AD63" s="66">
        <v>4</v>
      </c>
      <c r="AE63" s="11"/>
      <c r="AF63" s="89" t="s">
        <v>225</v>
      </c>
      <c r="AG63" t="s">
        <v>211</v>
      </c>
      <c r="AH63" t="s">
        <v>212</v>
      </c>
      <c r="AI63" t="s">
        <v>212</v>
      </c>
      <c r="AJ63" t="s">
        <v>211</v>
      </c>
      <c r="AK63">
        <v>0.67</v>
      </c>
      <c r="AL63" t="s">
        <v>281</v>
      </c>
      <c r="AM63" t="s">
        <v>275</v>
      </c>
      <c r="AN63" t="s">
        <v>215</v>
      </c>
      <c r="AO63" t="s">
        <v>234</v>
      </c>
      <c r="AP63" t="s">
        <v>217</v>
      </c>
      <c r="AQ63" t="s">
        <v>227</v>
      </c>
      <c r="AR63" t="s">
        <v>324</v>
      </c>
      <c r="AS63" t="s">
        <v>214</v>
      </c>
      <c r="AT63" t="s">
        <v>214</v>
      </c>
      <c r="AU63" t="s">
        <v>211</v>
      </c>
      <c r="AV63">
        <v>462</v>
      </c>
      <c r="AW63">
        <v>320</v>
      </c>
      <c r="AX63">
        <v>272</v>
      </c>
      <c r="AY63">
        <f t="shared" si="0"/>
        <v>351.33333333333331</v>
      </c>
      <c r="AZ63" t="s">
        <v>211</v>
      </c>
      <c r="BA63">
        <v>2.74</v>
      </c>
      <c r="BB63">
        <v>0.3</v>
      </c>
      <c r="BC63" t="s">
        <v>211</v>
      </c>
      <c r="BD63" t="s">
        <v>221</v>
      </c>
      <c r="BE63" t="s">
        <v>221</v>
      </c>
      <c r="BF63" t="s">
        <v>221</v>
      </c>
      <c r="BG63" t="s">
        <v>221</v>
      </c>
      <c r="BH63">
        <v>1.8</v>
      </c>
      <c r="BI63">
        <v>0.59</v>
      </c>
      <c r="BJ63">
        <v>0.83</v>
      </c>
      <c r="BK63">
        <v>1.43</v>
      </c>
      <c r="BL63">
        <v>2</v>
      </c>
      <c r="BM63">
        <v>2</v>
      </c>
      <c r="BN63">
        <v>4</v>
      </c>
      <c r="BO63">
        <v>2</v>
      </c>
      <c r="BP63">
        <v>2</v>
      </c>
      <c r="BQ63">
        <v>3</v>
      </c>
      <c r="BR63">
        <v>4</v>
      </c>
      <c r="BS63">
        <v>2</v>
      </c>
      <c r="BT63">
        <v>3</v>
      </c>
      <c r="BU63">
        <v>4</v>
      </c>
      <c r="BV63">
        <v>5</v>
      </c>
      <c r="BW63">
        <v>3</v>
      </c>
      <c r="BX63">
        <v>3</v>
      </c>
      <c r="BY63">
        <v>2</v>
      </c>
      <c r="BZ63">
        <v>1</v>
      </c>
      <c r="CA63">
        <v>6</v>
      </c>
      <c r="CB63">
        <v>5</v>
      </c>
      <c r="CC63">
        <v>5</v>
      </c>
      <c r="CD63">
        <v>2</v>
      </c>
      <c r="CE63">
        <v>1</v>
      </c>
      <c r="CF63">
        <v>5</v>
      </c>
      <c r="CG63">
        <v>1</v>
      </c>
      <c r="CH63">
        <v>2</v>
      </c>
      <c r="CI63">
        <v>3</v>
      </c>
      <c r="CJ63">
        <v>3</v>
      </c>
      <c r="CK63">
        <v>3</v>
      </c>
      <c r="CL63">
        <v>3</v>
      </c>
      <c r="CM63">
        <v>1</v>
      </c>
      <c r="CN63" t="s">
        <v>223</v>
      </c>
      <c r="CO63">
        <v>4</v>
      </c>
      <c r="CP63">
        <v>1</v>
      </c>
      <c r="CQ63">
        <v>6</v>
      </c>
      <c r="CR63">
        <v>2</v>
      </c>
      <c r="CS63">
        <v>3</v>
      </c>
      <c r="CT63">
        <v>1</v>
      </c>
      <c r="CU63">
        <v>3</v>
      </c>
      <c r="CV63">
        <v>1</v>
      </c>
      <c r="CW63">
        <v>3</v>
      </c>
      <c r="CX63" t="s">
        <v>257</v>
      </c>
      <c r="CY63">
        <v>4</v>
      </c>
      <c r="CZ63">
        <v>2</v>
      </c>
      <c r="DA63">
        <v>2</v>
      </c>
      <c r="DB63">
        <v>1</v>
      </c>
      <c r="DC63">
        <v>3</v>
      </c>
      <c r="DD63">
        <v>4</v>
      </c>
      <c r="DE63">
        <v>3</v>
      </c>
      <c r="DF63">
        <v>3</v>
      </c>
      <c r="DG63">
        <v>1</v>
      </c>
      <c r="DH63" t="s">
        <v>223</v>
      </c>
      <c r="DI63" t="s">
        <v>223</v>
      </c>
      <c r="DJ63"/>
      <c r="DK63"/>
      <c r="DL63"/>
      <c r="DM63"/>
      <c r="DN63"/>
      <c r="DO63"/>
      <c r="DP63"/>
      <c r="DQ63"/>
      <c r="DR63"/>
      <c r="DS63"/>
    </row>
    <row r="64" spans="1:123" s="12" customFormat="1">
      <c r="A64" s="64">
        <v>43690.479328703703</v>
      </c>
      <c r="B64" s="65" t="s">
        <v>87</v>
      </c>
      <c r="C64" s="10">
        <f t="shared" si="1"/>
        <v>63</v>
      </c>
      <c r="D64" s="73" t="s">
        <v>139</v>
      </c>
      <c r="E64" s="65" t="s">
        <v>119</v>
      </c>
      <c r="F64" s="72">
        <v>14</v>
      </c>
      <c r="G64" s="65">
        <v>22</v>
      </c>
      <c r="H64" s="65">
        <v>59.8</v>
      </c>
      <c r="I64" s="65">
        <v>731</v>
      </c>
      <c r="J64" s="65">
        <v>0.7</v>
      </c>
      <c r="K64" s="65">
        <v>80</v>
      </c>
      <c r="L64" s="66">
        <v>0.75000000000000011</v>
      </c>
      <c r="M64" s="81">
        <v>21.9544</v>
      </c>
      <c r="N64" s="65">
        <v>0.1</v>
      </c>
      <c r="O64" s="65">
        <v>48.6</v>
      </c>
      <c r="P64" s="66">
        <v>1.43</v>
      </c>
      <c r="Q64" s="11"/>
      <c r="R64" s="66">
        <v>365</v>
      </c>
      <c r="S64" s="66">
        <v>438</v>
      </c>
      <c r="T64" s="66">
        <v>266</v>
      </c>
      <c r="U64" s="11"/>
      <c r="V64" s="24">
        <f t="shared" si="2"/>
        <v>401.5</v>
      </c>
      <c r="W64" s="11"/>
      <c r="X64" s="66">
        <v>0</v>
      </c>
      <c r="Y64" s="66">
        <v>0</v>
      </c>
      <c r="Z64" s="66">
        <v>4.4000000000000004</v>
      </c>
      <c r="AA64" s="66">
        <v>4.4000000000000004</v>
      </c>
      <c r="AB64" s="66">
        <v>4.4000000000000004</v>
      </c>
      <c r="AC64" s="66"/>
      <c r="AD64" s="66">
        <v>2</v>
      </c>
      <c r="AE64" s="11"/>
      <c r="AF64" s="89" t="s">
        <v>225</v>
      </c>
      <c r="AG64" t="s">
        <v>211</v>
      </c>
      <c r="AH64" t="s">
        <v>212</v>
      </c>
      <c r="AI64" t="s">
        <v>212</v>
      </c>
      <c r="AJ64" t="s">
        <v>211</v>
      </c>
      <c r="AK64">
        <v>0.75000000000000011</v>
      </c>
      <c r="AL64" t="s">
        <v>281</v>
      </c>
      <c r="AM64" t="s">
        <v>275</v>
      </c>
      <c r="AN64" t="s">
        <v>215</v>
      </c>
      <c r="AO64" t="s">
        <v>234</v>
      </c>
      <c r="AP64" t="s">
        <v>217</v>
      </c>
      <c r="AQ64" t="s">
        <v>227</v>
      </c>
      <c r="AR64" t="s">
        <v>324</v>
      </c>
      <c r="AS64" t="s">
        <v>214</v>
      </c>
      <c r="AT64" t="s">
        <v>214</v>
      </c>
      <c r="AU64" t="s">
        <v>211</v>
      </c>
      <c r="AV64">
        <v>365</v>
      </c>
      <c r="AW64">
        <v>438</v>
      </c>
      <c r="AX64">
        <v>266</v>
      </c>
      <c r="AY64">
        <f t="shared" si="0"/>
        <v>356.33333333333331</v>
      </c>
      <c r="AZ64" t="s">
        <v>211</v>
      </c>
      <c r="BA64">
        <v>2.74</v>
      </c>
      <c r="BB64" t="s">
        <v>221</v>
      </c>
      <c r="BC64" t="s">
        <v>211</v>
      </c>
      <c r="BD64" t="s">
        <v>221</v>
      </c>
      <c r="BE64" t="s">
        <v>221</v>
      </c>
      <c r="BF64" t="s">
        <v>221</v>
      </c>
      <c r="BG64" t="s">
        <v>221</v>
      </c>
      <c r="BH64">
        <v>1.8</v>
      </c>
      <c r="BI64">
        <v>0.59</v>
      </c>
      <c r="BJ64">
        <v>0.83</v>
      </c>
      <c r="BK64">
        <v>1.43</v>
      </c>
      <c r="BL64">
        <v>2</v>
      </c>
      <c r="BM64">
        <v>3</v>
      </c>
      <c r="BN64">
        <v>4</v>
      </c>
      <c r="BO64">
        <v>3</v>
      </c>
      <c r="BP64">
        <v>2</v>
      </c>
      <c r="BQ64">
        <v>2</v>
      </c>
      <c r="BR64">
        <v>2</v>
      </c>
      <c r="BS64">
        <v>1</v>
      </c>
      <c r="BT64">
        <v>3</v>
      </c>
      <c r="BU64">
        <v>2</v>
      </c>
      <c r="BV64">
        <v>2</v>
      </c>
      <c r="BW64">
        <v>2</v>
      </c>
      <c r="BX64">
        <v>1</v>
      </c>
      <c r="BY64">
        <v>1</v>
      </c>
      <c r="BZ64">
        <v>1</v>
      </c>
      <c r="CA64">
        <v>6</v>
      </c>
      <c r="CB64">
        <v>5</v>
      </c>
      <c r="CC64">
        <v>4</v>
      </c>
      <c r="CD64">
        <v>2</v>
      </c>
      <c r="CE64">
        <v>1</v>
      </c>
      <c r="CF64">
        <v>6</v>
      </c>
      <c r="CG64">
        <v>1</v>
      </c>
      <c r="CH64">
        <v>3</v>
      </c>
      <c r="CI64">
        <v>6</v>
      </c>
      <c r="CJ64">
        <v>4</v>
      </c>
      <c r="CK64">
        <v>5</v>
      </c>
      <c r="CL64">
        <v>4</v>
      </c>
      <c r="CM64">
        <v>4</v>
      </c>
      <c r="CN64" t="s">
        <v>223</v>
      </c>
      <c r="CO64">
        <v>3</v>
      </c>
      <c r="CP64">
        <v>4</v>
      </c>
      <c r="CQ64">
        <v>6</v>
      </c>
      <c r="CR64">
        <v>2</v>
      </c>
      <c r="CS64">
        <v>3</v>
      </c>
      <c r="CT64">
        <v>2</v>
      </c>
      <c r="CU64">
        <v>6</v>
      </c>
      <c r="CV64">
        <v>2</v>
      </c>
      <c r="CW64">
        <v>3</v>
      </c>
      <c r="CX64" t="s">
        <v>253</v>
      </c>
      <c r="CY64">
        <v>3</v>
      </c>
      <c r="CZ64">
        <v>2</v>
      </c>
      <c r="DA64">
        <v>3</v>
      </c>
      <c r="DB64">
        <v>3</v>
      </c>
      <c r="DC64">
        <v>2</v>
      </c>
      <c r="DD64">
        <v>3</v>
      </c>
      <c r="DE64">
        <v>6</v>
      </c>
      <c r="DF64">
        <v>5</v>
      </c>
      <c r="DG64">
        <v>5</v>
      </c>
      <c r="DH64" t="s">
        <v>327</v>
      </c>
      <c r="DI64" t="s">
        <v>223</v>
      </c>
      <c r="DJ64"/>
      <c r="DK64"/>
      <c r="DL64"/>
      <c r="DM64"/>
      <c r="DN64"/>
      <c r="DO64"/>
      <c r="DP64"/>
      <c r="DQ64"/>
      <c r="DR64"/>
      <c r="DS64"/>
    </row>
    <row r="65" spans="1:123" s="12" customFormat="1">
      <c r="A65" s="64">
        <v>43690.482372685183</v>
      </c>
      <c r="B65" s="65" t="s">
        <v>88</v>
      </c>
      <c r="C65" s="10">
        <f t="shared" si="1"/>
        <v>64</v>
      </c>
      <c r="D65" s="73" t="s">
        <v>139</v>
      </c>
      <c r="E65" s="65" t="s">
        <v>119</v>
      </c>
      <c r="F65" s="72">
        <v>14</v>
      </c>
      <c r="G65" s="65">
        <v>22.3</v>
      </c>
      <c r="H65" s="65">
        <v>59</v>
      </c>
      <c r="I65" s="65">
        <v>750</v>
      </c>
      <c r="J65" s="65">
        <v>0.7</v>
      </c>
      <c r="K65" s="65">
        <v>80</v>
      </c>
      <c r="L65" s="66">
        <v>0.51</v>
      </c>
      <c r="M65" s="81">
        <v>22.2971</v>
      </c>
      <c r="N65" s="65">
        <v>0.02</v>
      </c>
      <c r="O65" s="65">
        <v>48.2</v>
      </c>
      <c r="P65" s="66">
        <v>1.43</v>
      </c>
      <c r="Q65" s="11"/>
      <c r="R65" s="66">
        <v>144</v>
      </c>
      <c r="S65" s="66">
        <v>96</v>
      </c>
      <c r="T65" s="66">
        <v>317</v>
      </c>
      <c r="U65" s="11"/>
      <c r="V65" s="24">
        <f t="shared" si="2"/>
        <v>120</v>
      </c>
      <c r="W65" s="11"/>
      <c r="X65" s="66">
        <v>0</v>
      </c>
      <c r="Y65" s="66">
        <v>0</v>
      </c>
      <c r="Z65" s="66">
        <v>9.8000000000000007</v>
      </c>
      <c r="AA65" s="66">
        <v>9.8000000000000007</v>
      </c>
      <c r="AB65" s="66">
        <v>9.8000000000000007</v>
      </c>
      <c r="AC65" s="66"/>
      <c r="AD65" s="66">
        <v>6</v>
      </c>
      <c r="AE65" s="11"/>
      <c r="AF65" s="89" t="s">
        <v>225</v>
      </c>
      <c r="AG65" t="s">
        <v>211</v>
      </c>
      <c r="AH65" t="s">
        <v>212</v>
      </c>
      <c r="AI65" t="s">
        <v>212</v>
      </c>
      <c r="AJ65" t="s">
        <v>211</v>
      </c>
      <c r="AK65">
        <v>0.51</v>
      </c>
      <c r="AL65" t="s">
        <v>281</v>
      </c>
      <c r="AM65" t="s">
        <v>275</v>
      </c>
      <c r="AN65" t="s">
        <v>215</v>
      </c>
      <c r="AO65" t="s">
        <v>234</v>
      </c>
      <c r="AP65" t="s">
        <v>217</v>
      </c>
      <c r="AQ65" t="s">
        <v>227</v>
      </c>
      <c r="AR65" t="s">
        <v>219</v>
      </c>
      <c r="AS65" t="s">
        <v>219</v>
      </c>
      <c r="AT65" t="s">
        <v>221</v>
      </c>
      <c r="AU65" t="s">
        <v>211</v>
      </c>
      <c r="AV65">
        <v>144</v>
      </c>
      <c r="AW65">
        <v>96</v>
      </c>
      <c r="AX65">
        <v>317</v>
      </c>
      <c r="AY65">
        <f t="shared" si="0"/>
        <v>185.66666666666666</v>
      </c>
      <c r="AZ65" t="s">
        <v>211</v>
      </c>
      <c r="BA65">
        <v>2.74</v>
      </c>
      <c r="BB65" t="s">
        <v>221</v>
      </c>
      <c r="BC65" t="s">
        <v>211</v>
      </c>
      <c r="BD65" t="s">
        <v>221</v>
      </c>
      <c r="BE65" t="s">
        <v>221</v>
      </c>
      <c r="BF65" t="s">
        <v>221</v>
      </c>
      <c r="BG65" t="s">
        <v>221</v>
      </c>
      <c r="BH65">
        <v>1.8</v>
      </c>
      <c r="BI65">
        <v>0.59</v>
      </c>
      <c r="BJ65">
        <v>0.83</v>
      </c>
      <c r="BK65">
        <v>1.43</v>
      </c>
      <c r="BL65">
        <v>2</v>
      </c>
      <c r="BM65">
        <v>3</v>
      </c>
      <c r="BN65">
        <v>4</v>
      </c>
      <c r="BO65">
        <v>2</v>
      </c>
      <c r="BP65">
        <v>2</v>
      </c>
      <c r="BQ65">
        <v>3</v>
      </c>
      <c r="BR65">
        <v>6</v>
      </c>
      <c r="BS65">
        <v>2</v>
      </c>
      <c r="BT65">
        <v>3</v>
      </c>
      <c r="BU65">
        <v>5</v>
      </c>
      <c r="BV65">
        <v>5</v>
      </c>
      <c r="BW65">
        <v>5</v>
      </c>
      <c r="BX65">
        <v>3</v>
      </c>
      <c r="BY65">
        <v>1</v>
      </c>
      <c r="BZ65">
        <v>3</v>
      </c>
      <c r="CA65">
        <v>5</v>
      </c>
      <c r="CB65">
        <v>5</v>
      </c>
      <c r="CC65">
        <v>5</v>
      </c>
      <c r="CD65">
        <v>2</v>
      </c>
      <c r="CE65">
        <v>1</v>
      </c>
      <c r="CF65">
        <v>5</v>
      </c>
      <c r="CG65">
        <v>1</v>
      </c>
      <c r="CH65">
        <v>3</v>
      </c>
      <c r="CI65">
        <v>4</v>
      </c>
      <c r="CJ65">
        <v>4</v>
      </c>
      <c r="CK65">
        <v>2</v>
      </c>
      <c r="CL65">
        <v>4</v>
      </c>
      <c r="CM65">
        <v>4</v>
      </c>
      <c r="CN65" t="s">
        <v>223</v>
      </c>
      <c r="CO65">
        <v>3</v>
      </c>
      <c r="CP65">
        <v>2</v>
      </c>
      <c r="CQ65">
        <v>5</v>
      </c>
      <c r="CR65">
        <v>2</v>
      </c>
      <c r="CS65">
        <v>3</v>
      </c>
      <c r="CT65">
        <v>3</v>
      </c>
      <c r="CU65">
        <v>6</v>
      </c>
      <c r="CV65">
        <v>2</v>
      </c>
      <c r="CW65">
        <v>2</v>
      </c>
      <c r="CX65" t="s">
        <v>325</v>
      </c>
      <c r="CY65">
        <v>5</v>
      </c>
      <c r="CZ65">
        <v>2</v>
      </c>
      <c r="DA65">
        <v>3</v>
      </c>
      <c r="DB65">
        <v>2</v>
      </c>
      <c r="DC65">
        <v>4</v>
      </c>
      <c r="DD65">
        <v>3</v>
      </c>
      <c r="DE65">
        <v>4</v>
      </c>
      <c r="DF65">
        <v>5</v>
      </c>
      <c r="DG65">
        <v>3</v>
      </c>
      <c r="DH65" t="s">
        <v>223</v>
      </c>
      <c r="DI65" t="s">
        <v>223</v>
      </c>
      <c r="DJ65"/>
      <c r="DK65"/>
      <c r="DL65"/>
      <c r="DM65"/>
      <c r="DN65"/>
      <c r="DO65"/>
      <c r="DP65"/>
      <c r="DQ65"/>
      <c r="DR65"/>
      <c r="DS65"/>
    </row>
    <row r="66" spans="1:123" s="12" customFormat="1">
      <c r="A66" s="64">
        <v>43690.488749999997</v>
      </c>
      <c r="B66" s="65" t="s">
        <v>89</v>
      </c>
      <c r="C66" s="10">
        <f t="shared" si="1"/>
        <v>65</v>
      </c>
      <c r="D66" s="73" t="s">
        <v>139</v>
      </c>
      <c r="E66" s="65" t="s">
        <v>119</v>
      </c>
      <c r="F66" s="72">
        <v>14</v>
      </c>
      <c r="G66" s="65">
        <v>23.1</v>
      </c>
      <c r="H66" s="65">
        <v>57</v>
      </c>
      <c r="I66" s="65">
        <v>732</v>
      </c>
      <c r="J66" s="65">
        <v>0.7</v>
      </c>
      <c r="K66" s="65">
        <v>80</v>
      </c>
      <c r="L66" s="66">
        <v>0.43000000000000005</v>
      </c>
      <c r="M66" s="81">
        <v>22.270399999999999</v>
      </c>
      <c r="N66" s="65">
        <v>0.08</v>
      </c>
      <c r="O66" s="65">
        <v>50.7</v>
      </c>
      <c r="P66" s="66">
        <v>1.43</v>
      </c>
      <c r="Q66" s="11"/>
      <c r="R66" s="66">
        <v>222</v>
      </c>
      <c r="S66" s="66">
        <v>350</v>
      </c>
      <c r="T66" s="66">
        <v>505</v>
      </c>
      <c r="U66" s="11"/>
      <c r="V66" s="24">
        <f t="shared" si="2"/>
        <v>286</v>
      </c>
      <c r="W66" s="11"/>
      <c r="X66" s="66">
        <v>0</v>
      </c>
      <c r="Y66" s="66">
        <v>0.2</v>
      </c>
      <c r="Z66" s="66">
        <v>8.3000000000000007</v>
      </c>
      <c r="AA66" s="66">
        <v>8.5</v>
      </c>
      <c r="AB66" s="66">
        <v>8.5</v>
      </c>
      <c r="AC66" s="66"/>
      <c r="AD66" s="66">
        <v>4</v>
      </c>
      <c r="AE66" s="11"/>
      <c r="AF66" s="89" t="s">
        <v>225</v>
      </c>
      <c r="AG66" t="s">
        <v>211</v>
      </c>
      <c r="AH66" t="s">
        <v>212</v>
      </c>
      <c r="AI66" t="s">
        <v>212</v>
      </c>
      <c r="AJ66" t="s">
        <v>211</v>
      </c>
      <c r="AK66">
        <v>0.43000000000000005</v>
      </c>
      <c r="AL66" t="s">
        <v>281</v>
      </c>
      <c r="AM66" t="s">
        <v>275</v>
      </c>
      <c r="AN66" t="s">
        <v>215</v>
      </c>
      <c r="AO66" t="s">
        <v>234</v>
      </c>
      <c r="AP66" t="s">
        <v>217</v>
      </c>
      <c r="AQ66" t="s">
        <v>227</v>
      </c>
      <c r="AR66" t="s">
        <v>219</v>
      </c>
      <c r="AS66" t="s">
        <v>219</v>
      </c>
      <c r="AT66" t="s">
        <v>221</v>
      </c>
      <c r="AU66" t="s">
        <v>211</v>
      </c>
      <c r="AV66">
        <v>222</v>
      </c>
      <c r="AW66">
        <v>350</v>
      </c>
      <c r="AX66">
        <v>505</v>
      </c>
      <c r="AY66">
        <f t="shared" ref="AY66:AY95" si="3">AVERAGE(AV66:AX66)</f>
        <v>359</v>
      </c>
      <c r="AZ66" t="s">
        <v>211</v>
      </c>
      <c r="BA66">
        <v>2.74</v>
      </c>
      <c r="BB66" t="s">
        <v>221</v>
      </c>
      <c r="BC66" t="s">
        <v>211</v>
      </c>
      <c r="BD66" t="s">
        <v>221</v>
      </c>
      <c r="BE66" t="s">
        <v>221</v>
      </c>
      <c r="BF66" t="s">
        <v>221</v>
      </c>
      <c r="BG66" t="s">
        <v>221</v>
      </c>
      <c r="BH66">
        <v>1.8</v>
      </c>
      <c r="BI66">
        <v>0.59</v>
      </c>
      <c r="BJ66">
        <v>0.83</v>
      </c>
      <c r="BK66">
        <v>1.43</v>
      </c>
      <c r="BL66">
        <v>2</v>
      </c>
      <c r="BM66">
        <v>2</v>
      </c>
      <c r="BN66">
        <v>4</v>
      </c>
      <c r="BO66">
        <v>2</v>
      </c>
      <c r="BP66">
        <v>2</v>
      </c>
      <c r="BQ66">
        <v>3</v>
      </c>
      <c r="BR66">
        <v>4</v>
      </c>
      <c r="BS66">
        <v>1</v>
      </c>
      <c r="BT66">
        <v>3</v>
      </c>
      <c r="BU66">
        <v>4</v>
      </c>
      <c r="BV66">
        <v>3</v>
      </c>
      <c r="BW66">
        <v>3</v>
      </c>
      <c r="BX66">
        <v>3</v>
      </c>
      <c r="BY66">
        <v>1</v>
      </c>
      <c r="BZ66">
        <v>1</v>
      </c>
      <c r="CA66">
        <v>5</v>
      </c>
      <c r="CB66">
        <v>2</v>
      </c>
      <c r="CC66">
        <v>3</v>
      </c>
      <c r="CD66">
        <v>2</v>
      </c>
      <c r="CE66">
        <v>1</v>
      </c>
      <c r="CF66">
        <v>4</v>
      </c>
      <c r="CG66">
        <v>1</v>
      </c>
      <c r="CH66">
        <v>2</v>
      </c>
      <c r="CI66">
        <v>5</v>
      </c>
      <c r="CJ66">
        <v>5</v>
      </c>
      <c r="CK66">
        <v>1</v>
      </c>
      <c r="CL66">
        <v>5</v>
      </c>
      <c r="CM66">
        <v>1</v>
      </c>
      <c r="CN66" t="s">
        <v>223</v>
      </c>
      <c r="CO66">
        <v>2</v>
      </c>
      <c r="CP66">
        <v>3</v>
      </c>
      <c r="CQ66">
        <v>4</v>
      </c>
      <c r="CR66">
        <v>2</v>
      </c>
      <c r="CS66">
        <v>3</v>
      </c>
      <c r="CT66">
        <v>2</v>
      </c>
      <c r="CU66">
        <v>7</v>
      </c>
      <c r="CV66">
        <v>2</v>
      </c>
      <c r="CW66">
        <v>3</v>
      </c>
      <c r="CX66" t="s">
        <v>257</v>
      </c>
      <c r="CY66">
        <v>4</v>
      </c>
      <c r="CZ66">
        <v>2</v>
      </c>
      <c r="DA66">
        <v>3</v>
      </c>
      <c r="DB66">
        <v>1</v>
      </c>
      <c r="DC66">
        <v>4</v>
      </c>
      <c r="DD66">
        <v>3</v>
      </c>
      <c r="DE66">
        <v>4</v>
      </c>
      <c r="DF66">
        <v>4</v>
      </c>
      <c r="DG66">
        <v>3</v>
      </c>
      <c r="DH66" t="s">
        <v>223</v>
      </c>
      <c r="DI66" t="s">
        <v>223</v>
      </c>
      <c r="DJ66"/>
      <c r="DK66"/>
      <c r="DL66"/>
      <c r="DM66"/>
      <c r="DN66"/>
      <c r="DO66"/>
      <c r="DP66"/>
      <c r="DQ66"/>
      <c r="DR66"/>
      <c r="DS66"/>
    </row>
    <row r="67" spans="1:123" s="12" customFormat="1">
      <c r="A67" s="64">
        <v>43690.494490740741</v>
      </c>
      <c r="B67" s="65" t="s">
        <v>90</v>
      </c>
      <c r="C67" s="10">
        <f t="shared" ref="C67:C130" si="4">C66+1</f>
        <v>66</v>
      </c>
      <c r="D67" s="73" t="s">
        <v>139</v>
      </c>
      <c r="E67" s="65" t="s">
        <v>119</v>
      </c>
      <c r="F67" s="72">
        <v>14</v>
      </c>
      <c r="G67" s="65">
        <v>23.2</v>
      </c>
      <c r="H67" s="65">
        <v>57.3</v>
      </c>
      <c r="I67" s="65">
        <v>744</v>
      </c>
      <c r="J67" s="65">
        <v>0.8</v>
      </c>
      <c r="K67" s="65">
        <v>84</v>
      </c>
      <c r="L67" s="66">
        <v>0.59000000000000008</v>
      </c>
      <c r="M67" s="81">
        <v>22.221299999999999</v>
      </c>
      <c r="N67" s="65">
        <v>0.03</v>
      </c>
      <c r="O67" s="65">
        <v>49.6</v>
      </c>
      <c r="P67" s="66">
        <v>1.43</v>
      </c>
      <c r="Q67" s="11"/>
      <c r="R67" s="66">
        <v>296</v>
      </c>
      <c r="S67" s="66">
        <v>160</v>
      </c>
      <c r="T67" s="66">
        <v>401</v>
      </c>
      <c r="U67" s="11"/>
      <c r="V67" s="24">
        <f t="shared" ref="V67:V121" si="5">AVERAGE(R67:S67)</f>
        <v>228</v>
      </c>
      <c r="W67" s="11"/>
      <c r="X67" s="66">
        <v>0</v>
      </c>
      <c r="Y67" s="66">
        <v>0</v>
      </c>
      <c r="Z67" s="66">
        <v>5.9</v>
      </c>
      <c r="AA67" s="66">
        <v>5.9</v>
      </c>
      <c r="AB67" s="66">
        <v>5.9</v>
      </c>
      <c r="AC67" s="66"/>
      <c r="AD67" s="66">
        <v>7</v>
      </c>
      <c r="AE67" s="11"/>
      <c r="AF67" s="89" t="s">
        <v>225</v>
      </c>
      <c r="AG67" t="s">
        <v>211</v>
      </c>
      <c r="AH67" t="s">
        <v>212</v>
      </c>
      <c r="AI67" t="s">
        <v>212</v>
      </c>
      <c r="AJ67" t="s">
        <v>211</v>
      </c>
      <c r="AK67">
        <v>0.59000000000000008</v>
      </c>
      <c r="AL67" t="s">
        <v>281</v>
      </c>
      <c r="AM67" t="s">
        <v>275</v>
      </c>
      <c r="AN67" t="s">
        <v>215</v>
      </c>
      <c r="AO67" t="s">
        <v>234</v>
      </c>
      <c r="AP67" t="s">
        <v>217</v>
      </c>
      <c r="AQ67" t="s">
        <v>227</v>
      </c>
      <c r="AR67" t="s">
        <v>324</v>
      </c>
      <c r="AS67" t="s">
        <v>214</v>
      </c>
      <c r="AT67" t="s">
        <v>214</v>
      </c>
      <c r="AU67" t="s">
        <v>211</v>
      </c>
      <c r="AV67">
        <v>296</v>
      </c>
      <c r="AW67">
        <v>160</v>
      </c>
      <c r="AX67">
        <v>401</v>
      </c>
      <c r="AY67">
        <f t="shared" si="3"/>
        <v>285.66666666666669</v>
      </c>
      <c r="AZ67" t="s">
        <v>211</v>
      </c>
      <c r="BA67">
        <v>2.74</v>
      </c>
      <c r="BB67" t="s">
        <v>221</v>
      </c>
      <c r="BC67" t="s">
        <v>211</v>
      </c>
      <c r="BD67" t="s">
        <v>221</v>
      </c>
      <c r="BE67" t="s">
        <v>221</v>
      </c>
      <c r="BF67" t="s">
        <v>221</v>
      </c>
      <c r="BG67" t="s">
        <v>221</v>
      </c>
      <c r="BH67">
        <v>1.8</v>
      </c>
      <c r="BI67">
        <v>0.59</v>
      </c>
      <c r="BJ67">
        <v>0.83</v>
      </c>
      <c r="BK67">
        <v>1.43</v>
      </c>
      <c r="BL67">
        <v>1</v>
      </c>
      <c r="BM67">
        <v>1</v>
      </c>
      <c r="BN67">
        <v>3</v>
      </c>
      <c r="BO67">
        <v>3</v>
      </c>
      <c r="BP67">
        <v>2</v>
      </c>
      <c r="BQ67">
        <v>4</v>
      </c>
      <c r="BR67">
        <v>7</v>
      </c>
      <c r="BS67">
        <v>2</v>
      </c>
      <c r="BT67">
        <v>3</v>
      </c>
      <c r="BU67">
        <v>7</v>
      </c>
      <c r="BV67">
        <v>7</v>
      </c>
      <c r="BW67">
        <v>7</v>
      </c>
      <c r="BX67">
        <v>4</v>
      </c>
      <c r="BY67">
        <v>2</v>
      </c>
      <c r="BZ67">
        <v>2</v>
      </c>
      <c r="CA67">
        <v>5</v>
      </c>
      <c r="CB67">
        <v>3</v>
      </c>
      <c r="CC67">
        <v>6</v>
      </c>
      <c r="CD67">
        <v>2</v>
      </c>
      <c r="CE67">
        <v>1</v>
      </c>
      <c r="CF67">
        <v>7</v>
      </c>
      <c r="CG67">
        <v>1</v>
      </c>
      <c r="CH67">
        <v>2</v>
      </c>
      <c r="CI67">
        <v>7</v>
      </c>
      <c r="CJ67">
        <v>6</v>
      </c>
      <c r="CK67">
        <v>4</v>
      </c>
      <c r="CL67">
        <v>7</v>
      </c>
      <c r="CM67">
        <v>1</v>
      </c>
      <c r="CN67" t="s">
        <v>223</v>
      </c>
      <c r="CO67">
        <v>1</v>
      </c>
      <c r="CP67">
        <v>7</v>
      </c>
      <c r="CQ67">
        <v>7</v>
      </c>
      <c r="CR67">
        <v>1</v>
      </c>
      <c r="CS67">
        <v>2</v>
      </c>
      <c r="CT67">
        <v>7</v>
      </c>
      <c r="CU67">
        <v>6</v>
      </c>
      <c r="CV67">
        <v>1</v>
      </c>
      <c r="CW67">
        <v>3</v>
      </c>
      <c r="CX67" t="s">
        <v>257</v>
      </c>
      <c r="CY67">
        <v>7</v>
      </c>
      <c r="CZ67">
        <v>2</v>
      </c>
      <c r="DA67">
        <v>3</v>
      </c>
      <c r="DB67">
        <v>1</v>
      </c>
      <c r="DC67">
        <v>7</v>
      </c>
      <c r="DD67">
        <v>3</v>
      </c>
      <c r="DE67">
        <v>7</v>
      </c>
      <c r="DF67">
        <v>4</v>
      </c>
      <c r="DG67">
        <v>6</v>
      </c>
      <c r="DH67" t="s">
        <v>223</v>
      </c>
      <c r="DI67" t="s">
        <v>223</v>
      </c>
      <c r="DJ67"/>
      <c r="DK67"/>
      <c r="DL67"/>
      <c r="DM67"/>
      <c r="DN67"/>
      <c r="DO67"/>
      <c r="DP67"/>
      <c r="DQ67"/>
      <c r="DR67"/>
      <c r="DS67"/>
    </row>
    <row r="68" spans="1:123" s="12" customFormat="1">
      <c r="A68" s="64">
        <v>43690.502187500002</v>
      </c>
      <c r="B68" s="65" t="s">
        <v>91</v>
      </c>
      <c r="C68" s="10">
        <f t="shared" si="4"/>
        <v>67</v>
      </c>
      <c r="D68" s="73" t="s">
        <v>139</v>
      </c>
      <c r="E68" s="65" t="s">
        <v>119</v>
      </c>
      <c r="F68" s="72">
        <v>14</v>
      </c>
      <c r="G68" s="65">
        <v>23.3</v>
      </c>
      <c r="H68" s="65">
        <v>57.3</v>
      </c>
      <c r="I68" s="65">
        <v>660</v>
      </c>
      <c r="J68" s="65">
        <v>0.7</v>
      </c>
      <c r="K68" s="65">
        <v>83</v>
      </c>
      <c r="L68" s="66">
        <v>0.51</v>
      </c>
      <c r="M68" s="81">
        <v>23.1235</v>
      </c>
      <c r="N68" s="65">
        <v>0.01</v>
      </c>
      <c r="O68" s="65">
        <v>50.1</v>
      </c>
      <c r="P68" s="66">
        <v>1.43</v>
      </c>
      <c r="Q68" s="11"/>
      <c r="R68" s="66">
        <v>237</v>
      </c>
      <c r="S68" s="66">
        <v>475</v>
      </c>
      <c r="T68" s="66">
        <v>618</v>
      </c>
      <c r="U68" s="11"/>
      <c r="V68" s="24">
        <f t="shared" si="5"/>
        <v>356</v>
      </c>
      <c r="W68" s="11"/>
      <c r="X68" s="66">
        <v>0.2</v>
      </c>
      <c r="Y68" s="66">
        <v>0.1</v>
      </c>
      <c r="Z68" s="66">
        <v>4.4000000000000004</v>
      </c>
      <c r="AA68" s="66">
        <v>4.5</v>
      </c>
      <c r="AB68" s="66">
        <v>4.7</v>
      </c>
      <c r="AC68" s="66"/>
      <c r="AD68" s="66">
        <v>5</v>
      </c>
      <c r="AE68" s="11"/>
      <c r="AF68" s="89" t="s">
        <v>225</v>
      </c>
      <c r="AG68" t="s">
        <v>211</v>
      </c>
      <c r="AH68" t="s">
        <v>212</v>
      </c>
      <c r="AI68" t="s">
        <v>212</v>
      </c>
      <c r="AJ68" t="s">
        <v>211</v>
      </c>
      <c r="AK68">
        <v>0.51</v>
      </c>
      <c r="AL68" t="s">
        <v>281</v>
      </c>
      <c r="AM68" t="s">
        <v>275</v>
      </c>
      <c r="AN68" t="s">
        <v>215</v>
      </c>
      <c r="AO68" t="s">
        <v>234</v>
      </c>
      <c r="AP68" t="s">
        <v>217</v>
      </c>
      <c r="AQ68" t="s">
        <v>227</v>
      </c>
      <c r="AR68" t="s">
        <v>214</v>
      </c>
      <c r="AS68" t="s">
        <v>214</v>
      </c>
      <c r="AT68" t="s">
        <v>214</v>
      </c>
      <c r="AU68" t="s">
        <v>211</v>
      </c>
      <c r="AV68">
        <v>237</v>
      </c>
      <c r="AW68">
        <v>475</v>
      </c>
      <c r="AX68">
        <v>618</v>
      </c>
      <c r="AY68">
        <f t="shared" si="3"/>
        <v>443.33333333333331</v>
      </c>
      <c r="AZ68" t="s">
        <v>211</v>
      </c>
      <c r="BA68">
        <v>2.74</v>
      </c>
      <c r="BB68">
        <v>0.2</v>
      </c>
      <c r="BC68" t="s">
        <v>211</v>
      </c>
      <c r="BD68" t="s">
        <v>221</v>
      </c>
      <c r="BE68" t="s">
        <v>221</v>
      </c>
      <c r="BF68" t="s">
        <v>221</v>
      </c>
      <c r="BG68" t="s">
        <v>221</v>
      </c>
      <c r="BH68">
        <v>1.8</v>
      </c>
      <c r="BI68">
        <v>0.59</v>
      </c>
      <c r="BJ68">
        <v>0.83</v>
      </c>
      <c r="BK68">
        <v>1.43</v>
      </c>
      <c r="BL68">
        <v>2</v>
      </c>
      <c r="BM68">
        <v>3</v>
      </c>
      <c r="BN68">
        <v>3</v>
      </c>
      <c r="BO68">
        <v>3</v>
      </c>
      <c r="BP68">
        <v>3</v>
      </c>
      <c r="BQ68">
        <v>4</v>
      </c>
      <c r="BR68">
        <v>5</v>
      </c>
      <c r="BS68">
        <v>2</v>
      </c>
      <c r="BT68">
        <v>3</v>
      </c>
      <c r="BU68">
        <v>5</v>
      </c>
      <c r="BV68">
        <v>5</v>
      </c>
      <c r="BW68">
        <v>5</v>
      </c>
      <c r="BX68">
        <v>1</v>
      </c>
      <c r="BY68">
        <v>2</v>
      </c>
      <c r="BZ68">
        <v>3</v>
      </c>
      <c r="CA68">
        <v>7</v>
      </c>
      <c r="CB68">
        <v>3</v>
      </c>
      <c r="CC68">
        <v>7</v>
      </c>
      <c r="CD68">
        <v>2</v>
      </c>
      <c r="CE68">
        <v>1</v>
      </c>
      <c r="CF68">
        <v>7</v>
      </c>
      <c r="CG68">
        <v>1</v>
      </c>
      <c r="CH68">
        <v>3</v>
      </c>
      <c r="CI68">
        <v>5</v>
      </c>
      <c r="CJ68">
        <v>4</v>
      </c>
      <c r="CK68">
        <v>4</v>
      </c>
      <c r="CL68">
        <v>5</v>
      </c>
      <c r="CM68">
        <v>1</v>
      </c>
      <c r="CN68" t="s">
        <v>223</v>
      </c>
      <c r="CO68">
        <v>2</v>
      </c>
      <c r="CP68">
        <v>5</v>
      </c>
      <c r="CQ68">
        <v>6</v>
      </c>
      <c r="CR68">
        <v>1</v>
      </c>
      <c r="CS68">
        <v>1</v>
      </c>
      <c r="CT68">
        <v>7</v>
      </c>
      <c r="CU68">
        <v>6</v>
      </c>
      <c r="CV68">
        <v>2</v>
      </c>
      <c r="CW68">
        <v>2</v>
      </c>
      <c r="CX68" t="s">
        <v>235</v>
      </c>
      <c r="CY68">
        <v>5</v>
      </c>
      <c r="CZ68">
        <v>2</v>
      </c>
      <c r="DA68">
        <v>3</v>
      </c>
      <c r="DB68">
        <v>1</v>
      </c>
      <c r="DC68">
        <v>5</v>
      </c>
      <c r="DD68">
        <v>4</v>
      </c>
      <c r="DE68">
        <v>3</v>
      </c>
      <c r="DF68">
        <v>3</v>
      </c>
      <c r="DG68">
        <v>5</v>
      </c>
      <c r="DH68" t="s">
        <v>223</v>
      </c>
      <c r="DI68" t="s">
        <v>223</v>
      </c>
      <c r="DJ68"/>
      <c r="DK68"/>
      <c r="DL68"/>
      <c r="DM68"/>
      <c r="DN68"/>
      <c r="DO68"/>
      <c r="DP68"/>
      <c r="DQ68"/>
      <c r="DR68"/>
      <c r="DS68"/>
    </row>
    <row r="69" spans="1:123" s="12" customFormat="1">
      <c r="A69" s="64">
        <v>43692.449606481481</v>
      </c>
      <c r="B69" s="65" t="s">
        <v>92</v>
      </c>
      <c r="C69" s="10">
        <f t="shared" si="4"/>
        <v>68</v>
      </c>
      <c r="D69" s="73" t="s">
        <v>139</v>
      </c>
      <c r="E69" s="65" t="s">
        <v>119</v>
      </c>
      <c r="F69" s="72">
        <v>14</v>
      </c>
      <c r="G69" s="65">
        <v>25.2</v>
      </c>
      <c r="H69" s="65">
        <v>53.8</v>
      </c>
      <c r="I69" s="65">
        <v>569</v>
      </c>
      <c r="J69" s="65">
        <v>1</v>
      </c>
      <c r="K69" s="65">
        <v>106</v>
      </c>
      <c r="L69" s="66">
        <v>0.53</v>
      </c>
      <c r="M69" s="81">
        <v>25.535399999999999</v>
      </c>
      <c r="N69" s="65">
        <v>0.19</v>
      </c>
      <c r="O69" s="65">
        <v>51</v>
      </c>
      <c r="P69" s="66">
        <v>1.1599999999999999</v>
      </c>
      <c r="Q69" s="11"/>
      <c r="R69" s="66">
        <v>820</v>
      </c>
      <c r="S69" s="66">
        <v>782</v>
      </c>
      <c r="T69" s="66">
        <v>406</v>
      </c>
      <c r="U69" s="11"/>
      <c r="V69" s="24">
        <f t="shared" si="5"/>
        <v>801</v>
      </c>
      <c r="W69" s="11"/>
      <c r="X69" s="66">
        <v>13.7</v>
      </c>
      <c r="Y69" s="66">
        <v>0.2</v>
      </c>
      <c r="Z69" s="66">
        <v>5.5</v>
      </c>
      <c r="AA69" s="66">
        <v>5.7</v>
      </c>
      <c r="AB69" s="66">
        <v>19.399999999999999</v>
      </c>
      <c r="AC69" s="66"/>
      <c r="AD69" s="66">
        <v>5</v>
      </c>
      <c r="AE69" s="11"/>
      <c r="AF69" s="89" t="s">
        <v>251</v>
      </c>
      <c r="AG69" t="s">
        <v>211</v>
      </c>
      <c r="AH69" t="s">
        <v>212</v>
      </c>
      <c r="AI69" t="s">
        <v>212</v>
      </c>
      <c r="AJ69" t="s">
        <v>212</v>
      </c>
      <c r="AK69">
        <v>0.53</v>
      </c>
      <c r="AL69" t="s">
        <v>281</v>
      </c>
      <c r="AM69" t="s">
        <v>328</v>
      </c>
      <c r="AN69" t="s">
        <v>215</v>
      </c>
      <c r="AO69" t="s">
        <v>234</v>
      </c>
      <c r="AP69" t="s">
        <v>217</v>
      </c>
      <c r="AQ69" t="s">
        <v>329</v>
      </c>
      <c r="AR69" t="s">
        <v>214</v>
      </c>
      <c r="AS69" t="s">
        <v>330</v>
      </c>
      <c r="AT69" t="s">
        <v>331</v>
      </c>
      <c r="AU69" t="s">
        <v>211</v>
      </c>
      <c r="AV69">
        <v>820</v>
      </c>
      <c r="AW69">
        <v>782</v>
      </c>
      <c r="AX69">
        <v>406</v>
      </c>
      <c r="AY69">
        <f t="shared" si="3"/>
        <v>669.33333333333337</v>
      </c>
      <c r="AZ69" t="s">
        <v>211</v>
      </c>
      <c r="BA69">
        <v>3.08</v>
      </c>
      <c r="BB69">
        <v>2</v>
      </c>
      <c r="BC69" t="s">
        <v>211</v>
      </c>
      <c r="BD69">
        <v>0.3</v>
      </c>
      <c r="BE69" t="s">
        <v>16</v>
      </c>
      <c r="BF69">
        <v>2</v>
      </c>
      <c r="BG69" t="s">
        <v>224</v>
      </c>
      <c r="BH69">
        <v>1.83</v>
      </c>
      <c r="BI69">
        <v>0.57999999999999996</v>
      </c>
      <c r="BJ69">
        <v>0.73</v>
      </c>
      <c r="BK69">
        <v>1.1599999999999999</v>
      </c>
      <c r="BL69">
        <v>2</v>
      </c>
      <c r="BM69">
        <v>3</v>
      </c>
      <c r="BN69">
        <v>4</v>
      </c>
      <c r="BO69">
        <v>2</v>
      </c>
      <c r="BP69">
        <v>2</v>
      </c>
      <c r="BQ69">
        <v>3</v>
      </c>
      <c r="BR69">
        <v>5</v>
      </c>
      <c r="BS69">
        <v>3</v>
      </c>
      <c r="BT69">
        <v>3</v>
      </c>
      <c r="BU69">
        <v>3</v>
      </c>
      <c r="BV69">
        <v>1</v>
      </c>
      <c r="BW69">
        <v>6</v>
      </c>
      <c r="BX69">
        <v>1</v>
      </c>
      <c r="BY69">
        <v>3</v>
      </c>
      <c r="BZ69">
        <v>2</v>
      </c>
      <c r="CA69">
        <v>7</v>
      </c>
      <c r="CB69">
        <v>7</v>
      </c>
      <c r="CC69">
        <v>7</v>
      </c>
      <c r="CD69">
        <v>2</v>
      </c>
      <c r="CE69">
        <v>1</v>
      </c>
      <c r="CF69">
        <v>6</v>
      </c>
      <c r="CG69">
        <v>1</v>
      </c>
      <c r="CH69">
        <v>2</v>
      </c>
      <c r="CI69">
        <v>7</v>
      </c>
      <c r="CJ69">
        <v>6</v>
      </c>
      <c r="CK69">
        <v>7</v>
      </c>
      <c r="CL69">
        <v>5</v>
      </c>
      <c r="CM69">
        <v>3</v>
      </c>
      <c r="CN69" t="s">
        <v>223</v>
      </c>
      <c r="CO69">
        <v>1</v>
      </c>
      <c r="CP69">
        <v>7</v>
      </c>
      <c r="CQ69">
        <v>6</v>
      </c>
      <c r="CR69">
        <v>1</v>
      </c>
      <c r="CS69">
        <v>1</v>
      </c>
      <c r="CT69">
        <v>7</v>
      </c>
      <c r="CU69">
        <v>6</v>
      </c>
      <c r="CV69">
        <v>2</v>
      </c>
      <c r="CW69">
        <v>3</v>
      </c>
      <c r="CX69" t="s">
        <v>253</v>
      </c>
      <c r="CY69">
        <v>4</v>
      </c>
      <c r="CZ69">
        <v>2</v>
      </c>
      <c r="DA69">
        <v>3</v>
      </c>
      <c r="DB69">
        <v>2</v>
      </c>
      <c r="DC69">
        <v>6</v>
      </c>
      <c r="DD69">
        <v>3</v>
      </c>
      <c r="DE69">
        <v>6</v>
      </c>
      <c r="DF69">
        <v>5</v>
      </c>
      <c r="DG69">
        <v>5</v>
      </c>
      <c r="DH69" t="s">
        <v>332</v>
      </c>
      <c r="DI69" t="s">
        <v>223</v>
      </c>
      <c r="DJ69"/>
      <c r="DK69"/>
      <c r="DL69"/>
      <c r="DM69"/>
      <c r="DN69"/>
      <c r="DO69"/>
      <c r="DP69"/>
      <c r="DQ69"/>
      <c r="DR69"/>
      <c r="DS69"/>
    </row>
    <row r="70" spans="1:123" s="12" customFormat="1">
      <c r="A70" s="64">
        <v>43692.436516203707</v>
      </c>
      <c r="B70" s="65" t="s">
        <v>93</v>
      </c>
      <c r="C70" s="10">
        <f t="shared" si="4"/>
        <v>69</v>
      </c>
      <c r="D70" s="73" t="s">
        <v>139</v>
      </c>
      <c r="E70" s="65" t="s">
        <v>119</v>
      </c>
      <c r="F70" s="72">
        <v>14</v>
      </c>
      <c r="G70" s="65">
        <v>24.8</v>
      </c>
      <c r="H70" s="65">
        <v>55</v>
      </c>
      <c r="I70" s="65">
        <v>552</v>
      </c>
      <c r="J70" s="65">
        <v>1.1000000000000001</v>
      </c>
      <c r="K70" s="65">
        <v>113</v>
      </c>
      <c r="L70" s="66">
        <v>0.51</v>
      </c>
      <c r="M70" s="81">
        <v>25.7058</v>
      </c>
      <c r="N70" s="65">
        <v>0.06</v>
      </c>
      <c r="O70" s="65">
        <v>54.3</v>
      </c>
      <c r="P70" s="66">
        <v>1.1599999999999999</v>
      </c>
      <c r="Q70" s="11"/>
      <c r="R70" s="66">
        <v>820</v>
      </c>
      <c r="S70" s="66">
        <v>1300</v>
      </c>
      <c r="T70" s="66">
        <v>1073</v>
      </c>
      <c r="U70" s="11"/>
      <c r="V70" s="24">
        <f t="shared" si="5"/>
        <v>1060</v>
      </c>
      <c r="W70" s="11"/>
      <c r="X70" s="66">
        <v>18.899999999999999</v>
      </c>
      <c r="Y70" s="66">
        <v>0.5</v>
      </c>
      <c r="Z70" s="66">
        <v>8.4</v>
      </c>
      <c r="AA70" s="66">
        <v>8.9</v>
      </c>
      <c r="AB70" s="66">
        <v>27.799999999999997</v>
      </c>
      <c r="AC70" s="66"/>
      <c r="AD70" s="66">
        <v>3</v>
      </c>
      <c r="AE70" s="11"/>
      <c r="AF70" s="89" t="s">
        <v>251</v>
      </c>
      <c r="AG70" t="s">
        <v>211</v>
      </c>
      <c r="AH70" t="s">
        <v>212</v>
      </c>
      <c r="AI70" t="s">
        <v>212</v>
      </c>
      <c r="AJ70" t="s">
        <v>212</v>
      </c>
      <c r="AK70">
        <v>0.51</v>
      </c>
      <c r="AL70" t="s">
        <v>281</v>
      </c>
      <c r="AM70" t="s">
        <v>328</v>
      </c>
      <c r="AN70" t="s">
        <v>215</v>
      </c>
      <c r="AO70" t="s">
        <v>234</v>
      </c>
      <c r="AP70" t="s">
        <v>217</v>
      </c>
      <c r="AQ70" t="s">
        <v>329</v>
      </c>
      <c r="AR70" t="s">
        <v>214</v>
      </c>
      <c r="AS70" t="s">
        <v>330</v>
      </c>
      <c r="AT70" t="s">
        <v>331</v>
      </c>
      <c r="AU70" t="s">
        <v>211</v>
      </c>
      <c r="AV70">
        <v>820</v>
      </c>
      <c r="AW70">
        <v>1300</v>
      </c>
      <c r="AX70">
        <v>1073</v>
      </c>
      <c r="AY70">
        <f t="shared" si="3"/>
        <v>1064.3333333333333</v>
      </c>
      <c r="AZ70" t="s">
        <v>211</v>
      </c>
      <c r="BA70">
        <v>3.08</v>
      </c>
      <c r="BB70">
        <v>3</v>
      </c>
      <c r="BC70" t="s">
        <v>211</v>
      </c>
      <c r="BD70">
        <v>0.3</v>
      </c>
      <c r="BE70" t="s">
        <v>16</v>
      </c>
      <c r="BF70">
        <v>4.5</v>
      </c>
      <c r="BG70" t="s">
        <v>222</v>
      </c>
      <c r="BH70">
        <v>1.83</v>
      </c>
      <c r="BI70">
        <v>0.57999999999999996</v>
      </c>
      <c r="BJ70">
        <v>0.73</v>
      </c>
      <c r="BK70">
        <v>1.1599999999999999</v>
      </c>
      <c r="BL70">
        <v>2</v>
      </c>
      <c r="BM70">
        <v>2</v>
      </c>
      <c r="BN70">
        <v>3</v>
      </c>
      <c r="BO70">
        <v>2</v>
      </c>
      <c r="BP70">
        <v>2</v>
      </c>
      <c r="BQ70">
        <v>2</v>
      </c>
      <c r="BR70">
        <v>3</v>
      </c>
      <c r="BS70">
        <v>1</v>
      </c>
      <c r="BT70">
        <v>3</v>
      </c>
      <c r="BU70">
        <v>2</v>
      </c>
      <c r="BV70">
        <v>2</v>
      </c>
      <c r="BW70">
        <v>2</v>
      </c>
      <c r="BX70">
        <v>2</v>
      </c>
      <c r="BY70">
        <v>1</v>
      </c>
      <c r="BZ70">
        <v>1</v>
      </c>
      <c r="CA70">
        <v>4</v>
      </c>
      <c r="CB70">
        <v>3</v>
      </c>
      <c r="CC70">
        <v>4</v>
      </c>
      <c r="CD70">
        <v>2</v>
      </c>
      <c r="CE70">
        <v>1</v>
      </c>
      <c r="CF70">
        <v>4</v>
      </c>
      <c r="CG70">
        <v>1</v>
      </c>
      <c r="CH70">
        <v>2</v>
      </c>
      <c r="CI70">
        <v>6</v>
      </c>
      <c r="CJ70">
        <v>4</v>
      </c>
      <c r="CK70">
        <v>6</v>
      </c>
      <c r="CL70">
        <v>4</v>
      </c>
      <c r="CM70">
        <v>1</v>
      </c>
      <c r="CN70" t="s">
        <v>223</v>
      </c>
      <c r="CO70">
        <v>1</v>
      </c>
      <c r="CP70">
        <v>6</v>
      </c>
      <c r="CQ70">
        <v>6</v>
      </c>
      <c r="CR70">
        <v>1</v>
      </c>
      <c r="CS70">
        <v>1</v>
      </c>
      <c r="CT70">
        <v>6</v>
      </c>
      <c r="CU70">
        <v>6</v>
      </c>
      <c r="CV70">
        <v>2</v>
      </c>
      <c r="CW70">
        <v>1</v>
      </c>
      <c r="CX70" t="s">
        <v>333</v>
      </c>
      <c r="CY70">
        <v>6</v>
      </c>
      <c r="CZ70">
        <v>2</v>
      </c>
      <c r="DA70">
        <v>1</v>
      </c>
      <c r="DB70">
        <v>3</v>
      </c>
      <c r="DC70">
        <v>4</v>
      </c>
      <c r="DD70">
        <v>3</v>
      </c>
      <c r="DE70">
        <v>4</v>
      </c>
      <c r="DF70">
        <v>3</v>
      </c>
      <c r="DG70">
        <v>5</v>
      </c>
      <c r="DH70" t="s">
        <v>223</v>
      </c>
      <c r="DI70" t="s">
        <v>223</v>
      </c>
      <c r="DJ70"/>
      <c r="DK70"/>
      <c r="DL70"/>
      <c r="DM70"/>
      <c r="DN70"/>
      <c r="DO70"/>
      <c r="DP70"/>
      <c r="DQ70"/>
      <c r="DR70"/>
      <c r="DS70"/>
    </row>
    <row r="71" spans="1:123" s="12" customFormat="1">
      <c r="A71" s="64">
        <v>43692.461365740739</v>
      </c>
      <c r="B71" s="65" t="s">
        <v>94</v>
      </c>
      <c r="C71" s="10">
        <f t="shared" si="4"/>
        <v>70</v>
      </c>
      <c r="D71" s="73" t="s">
        <v>139</v>
      </c>
      <c r="E71" s="65" t="s">
        <v>119</v>
      </c>
      <c r="F71" s="72">
        <v>14</v>
      </c>
      <c r="G71" s="65">
        <v>23.6</v>
      </c>
      <c r="H71" s="65">
        <v>57.8</v>
      </c>
      <c r="I71" s="65">
        <v>702</v>
      </c>
      <c r="J71" s="65">
        <v>0.8</v>
      </c>
      <c r="K71" s="65">
        <v>102</v>
      </c>
      <c r="L71" s="66">
        <v>0.6</v>
      </c>
      <c r="M71" s="81">
        <v>22.633500000000002</v>
      </c>
      <c r="N71" s="65">
        <v>0.02</v>
      </c>
      <c r="O71" s="65">
        <v>48.7</v>
      </c>
      <c r="P71" s="66">
        <v>0</v>
      </c>
      <c r="Q71" s="11"/>
      <c r="R71" s="66">
        <v>210</v>
      </c>
      <c r="S71" s="66">
        <v>211</v>
      </c>
      <c r="T71" s="66">
        <v>92</v>
      </c>
      <c r="U71" s="11"/>
      <c r="V71" s="24">
        <f t="shared" si="5"/>
        <v>210.5</v>
      </c>
      <c r="W71" s="11"/>
      <c r="X71" s="66">
        <v>0</v>
      </c>
      <c r="Y71" s="66">
        <v>0</v>
      </c>
      <c r="Z71" s="66">
        <v>6.4</v>
      </c>
      <c r="AA71" s="66">
        <v>6.4</v>
      </c>
      <c r="AB71" s="66">
        <v>6.4</v>
      </c>
      <c r="AC71" s="66"/>
      <c r="AD71" s="66">
        <v>4</v>
      </c>
      <c r="AE71" s="11"/>
      <c r="AF71" s="89" t="s">
        <v>225</v>
      </c>
      <c r="AG71" t="s">
        <v>211</v>
      </c>
      <c r="AH71" t="s">
        <v>211</v>
      </c>
      <c r="AI71" t="s">
        <v>221</v>
      </c>
      <c r="AJ71" t="s">
        <v>221</v>
      </c>
      <c r="AK71">
        <v>0.6</v>
      </c>
      <c r="AL71" t="s">
        <v>281</v>
      </c>
      <c r="AM71" t="s">
        <v>328</v>
      </c>
      <c r="AN71" t="s">
        <v>215</v>
      </c>
      <c r="AO71" t="s">
        <v>234</v>
      </c>
      <c r="AP71" t="s">
        <v>217</v>
      </c>
      <c r="AQ71" t="s">
        <v>227</v>
      </c>
      <c r="AR71" t="s">
        <v>214</v>
      </c>
      <c r="AS71" t="s">
        <v>214</v>
      </c>
      <c r="AT71" t="s">
        <v>221</v>
      </c>
      <c r="AU71" t="s">
        <v>211</v>
      </c>
      <c r="AV71">
        <v>210</v>
      </c>
      <c r="AW71">
        <v>211</v>
      </c>
      <c r="AX71">
        <v>92</v>
      </c>
      <c r="AY71">
        <f t="shared" si="3"/>
        <v>171</v>
      </c>
      <c r="AZ71" t="s">
        <v>211</v>
      </c>
      <c r="BA71">
        <v>2.74</v>
      </c>
      <c r="BB71" t="s">
        <v>221</v>
      </c>
      <c r="BC71" t="s">
        <v>211</v>
      </c>
      <c r="BD71" t="s">
        <v>221</v>
      </c>
      <c r="BE71" t="s">
        <v>221</v>
      </c>
      <c r="BF71" t="s">
        <v>221</v>
      </c>
      <c r="BG71" t="s">
        <v>221</v>
      </c>
      <c r="BH71">
        <v>1.54</v>
      </c>
      <c r="BI71">
        <v>0.57999999999999996</v>
      </c>
      <c r="BJ71">
        <v>0.74</v>
      </c>
      <c r="BK71" t="s">
        <v>221</v>
      </c>
      <c r="BL71">
        <v>1</v>
      </c>
      <c r="BM71">
        <v>1</v>
      </c>
      <c r="BN71">
        <v>2</v>
      </c>
      <c r="BO71">
        <v>3</v>
      </c>
      <c r="BP71">
        <v>3</v>
      </c>
      <c r="BQ71">
        <v>6</v>
      </c>
      <c r="BR71">
        <v>4</v>
      </c>
      <c r="BS71">
        <v>3</v>
      </c>
      <c r="BT71">
        <v>3</v>
      </c>
      <c r="BU71">
        <v>4</v>
      </c>
      <c r="BV71">
        <v>2</v>
      </c>
      <c r="BW71">
        <v>4</v>
      </c>
      <c r="BX71">
        <v>4</v>
      </c>
      <c r="BY71">
        <v>3</v>
      </c>
      <c r="BZ71">
        <v>2</v>
      </c>
      <c r="CA71">
        <v>4</v>
      </c>
      <c r="CB71">
        <v>3</v>
      </c>
      <c r="CC71">
        <v>3</v>
      </c>
      <c r="CD71">
        <v>2</v>
      </c>
      <c r="CE71">
        <v>1</v>
      </c>
      <c r="CF71">
        <v>6</v>
      </c>
      <c r="CG71">
        <v>1</v>
      </c>
      <c r="CH71">
        <v>1</v>
      </c>
      <c r="CI71">
        <v>5</v>
      </c>
      <c r="CJ71">
        <v>5</v>
      </c>
      <c r="CK71">
        <v>5</v>
      </c>
      <c r="CL71">
        <v>4</v>
      </c>
      <c r="CM71">
        <v>1</v>
      </c>
      <c r="CN71" t="s">
        <v>223</v>
      </c>
      <c r="CO71">
        <v>2</v>
      </c>
      <c r="CP71">
        <v>5</v>
      </c>
      <c r="CQ71">
        <v>4</v>
      </c>
      <c r="CR71">
        <v>1</v>
      </c>
      <c r="CS71">
        <v>3</v>
      </c>
      <c r="CT71">
        <v>4</v>
      </c>
      <c r="CU71">
        <v>4</v>
      </c>
      <c r="CV71">
        <v>3</v>
      </c>
      <c r="CW71">
        <v>3</v>
      </c>
      <c r="CX71" t="s">
        <v>231</v>
      </c>
      <c r="CY71">
        <v>4</v>
      </c>
      <c r="CZ71">
        <v>2</v>
      </c>
      <c r="DA71">
        <v>3</v>
      </c>
      <c r="DB71">
        <v>2</v>
      </c>
      <c r="DC71">
        <v>4</v>
      </c>
      <c r="DD71">
        <v>3</v>
      </c>
      <c r="DE71">
        <v>6</v>
      </c>
      <c r="DF71">
        <v>5</v>
      </c>
      <c r="DG71">
        <v>1</v>
      </c>
      <c r="DH71" t="s">
        <v>223</v>
      </c>
      <c r="DI71" t="s">
        <v>223</v>
      </c>
      <c r="DJ71"/>
      <c r="DK71"/>
      <c r="DL71"/>
      <c r="DM71"/>
      <c r="DN71"/>
      <c r="DO71"/>
      <c r="DP71"/>
      <c r="DQ71"/>
      <c r="DR71"/>
      <c r="DS71"/>
    </row>
    <row r="72" spans="1:123" s="12" customFormat="1">
      <c r="A72" s="64">
        <v>43692.468969907408</v>
      </c>
      <c r="B72" s="65" t="s">
        <v>95</v>
      </c>
      <c r="C72" s="10">
        <f t="shared" si="4"/>
        <v>71</v>
      </c>
      <c r="D72" s="73" t="s">
        <v>139</v>
      </c>
      <c r="E72" s="65" t="s">
        <v>119</v>
      </c>
      <c r="F72" s="72">
        <v>14</v>
      </c>
      <c r="G72" s="65">
        <v>23.5</v>
      </c>
      <c r="H72" s="65">
        <v>59.5</v>
      </c>
      <c r="I72" s="65">
        <v>667</v>
      </c>
      <c r="J72" s="65">
        <v>0.9</v>
      </c>
      <c r="K72" s="65">
        <v>102</v>
      </c>
      <c r="L72" s="66">
        <v>0.55000000000000004</v>
      </c>
      <c r="M72" s="81">
        <v>23.463200000000001</v>
      </c>
      <c r="N72" s="65">
        <v>0.06</v>
      </c>
      <c r="O72" s="65">
        <v>48.5</v>
      </c>
      <c r="P72" s="66">
        <v>1.34</v>
      </c>
      <c r="Q72" s="11"/>
      <c r="R72" s="66">
        <v>139</v>
      </c>
      <c r="S72" s="66">
        <v>148</v>
      </c>
      <c r="T72" s="66">
        <v>300</v>
      </c>
      <c r="U72" s="11"/>
      <c r="V72" s="24">
        <f t="shared" si="5"/>
        <v>143.5</v>
      </c>
      <c r="W72" s="11"/>
      <c r="X72" s="66">
        <v>2.6</v>
      </c>
      <c r="Y72" s="66">
        <v>1.4</v>
      </c>
      <c r="Z72" s="66">
        <v>6.8</v>
      </c>
      <c r="AA72" s="66">
        <v>8.1999999999999993</v>
      </c>
      <c r="AB72" s="66">
        <v>10.799999999999999</v>
      </c>
      <c r="AC72" s="66"/>
      <c r="AD72" s="66">
        <v>6</v>
      </c>
      <c r="AE72" s="11"/>
      <c r="AF72" s="89" t="s">
        <v>225</v>
      </c>
      <c r="AG72" t="s">
        <v>211</v>
      </c>
      <c r="AH72" t="s">
        <v>212</v>
      </c>
      <c r="AI72" t="s">
        <v>212</v>
      </c>
      <c r="AJ72" t="s">
        <v>334</v>
      </c>
      <c r="AK72">
        <v>0.55000000000000004</v>
      </c>
      <c r="AL72" t="s">
        <v>281</v>
      </c>
      <c r="AM72" t="s">
        <v>328</v>
      </c>
      <c r="AN72" t="s">
        <v>215</v>
      </c>
      <c r="AO72" t="s">
        <v>234</v>
      </c>
      <c r="AP72" t="s">
        <v>217</v>
      </c>
      <c r="AQ72" t="s">
        <v>227</v>
      </c>
      <c r="AR72" t="s">
        <v>214</v>
      </c>
      <c r="AS72" t="s">
        <v>214</v>
      </c>
      <c r="AT72" t="s">
        <v>248</v>
      </c>
      <c r="AU72" t="s">
        <v>211</v>
      </c>
      <c r="AV72">
        <v>139</v>
      </c>
      <c r="AW72">
        <v>148</v>
      </c>
      <c r="AX72">
        <v>300</v>
      </c>
      <c r="AY72">
        <f t="shared" si="3"/>
        <v>195.66666666666666</v>
      </c>
      <c r="AZ72" t="s">
        <v>211</v>
      </c>
      <c r="BA72">
        <v>2.74</v>
      </c>
      <c r="BB72">
        <v>0.5</v>
      </c>
      <c r="BC72" t="s">
        <v>211</v>
      </c>
      <c r="BD72">
        <v>3</v>
      </c>
      <c r="BE72" t="s">
        <v>221</v>
      </c>
      <c r="BF72" t="s">
        <v>221</v>
      </c>
      <c r="BG72" t="s">
        <v>221</v>
      </c>
      <c r="BH72">
        <v>1.8</v>
      </c>
      <c r="BI72">
        <v>0.59</v>
      </c>
      <c r="BJ72">
        <v>0.83</v>
      </c>
      <c r="BK72">
        <v>1.34</v>
      </c>
      <c r="BL72">
        <v>2</v>
      </c>
      <c r="BM72">
        <v>2</v>
      </c>
      <c r="BN72">
        <v>4</v>
      </c>
      <c r="BO72">
        <v>2</v>
      </c>
      <c r="BP72">
        <v>3</v>
      </c>
      <c r="BQ72">
        <v>3</v>
      </c>
      <c r="BR72">
        <v>6</v>
      </c>
      <c r="BS72">
        <v>2</v>
      </c>
      <c r="BT72">
        <v>3</v>
      </c>
      <c r="BU72">
        <v>6</v>
      </c>
      <c r="BV72">
        <v>7</v>
      </c>
      <c r="BW72">
        <v>5</v>
      </c>
      <c r="BX72">
        <v>4</v>
      </c>
      <c r="BY72">
        <v>2</v>
      </c>
      <c r="BZ72">
        <v>1</v>
      </c>
      <c r="CA72">
        <v>5</v>
      </c>
      <c r="CB72">
        <v>5</v>
      </c>
      <c r="CC72">
        <v>5</v>
      </c>
      <c r="CD72">
        <v>2</v>
      </c>
      <c r="CE72">
        <v>1</v>
      </c>
      <c r="CF72">
        <v>3</v>
      </c>
      <c r="CG72">
        <v>1</v>
      </c>
      <c r="CH72">
        <v>2</v>
      </c>
      <c r="CI72">
        <v>6</v>
      </c>
      <c r="CJ72">
        <v>5</v>
      </c>
      <c r="CK72">
        <v>4</v>
      </c>
      <c r="CL72">
        <v>4</v>
      </c>
      <c r="CM72">
        <v>1</v>
      </c>
      <c r="CN72" t="s">
        <v>223</v>
      </c>
      <c r="CO72">
        <v>2</v>
      </c>
      <c r="CP72">
        <v>5</v>
      </c>
      <c r="CQ72">
        <v>5</v>
      </c>
      <c r="CR72">
        <v>2</v>
      </c>
      <c r="CS72">
        <v>2</v>
      </c>
      <c r="CT72">
        <v>4</v>
      </c>
      <c r="CU72">
        <v>5</v>
      </c>
      <c r="CV72">
        <v>1</v>
      </c>
      <c r="CW72">
        <v>2</v>
      </c>
      <c r="CX72" t="s">
        <v>237</v>
      </c>
      <c r="CY72">
        <v>5</v>
      </c>
      <c r="CZ72">
        <v>2</v>
      </c>
      <c r="DA72">
        <v>3</v>
      </c>
      <c r="DB72">
        <v>1</v>
      </c>
      <c r="DC72">
        <v>4</v>
      </c>
      <c r="DD72">
        <v>4</v>
      </c>
      <c r="DE72">
        <v>5</v>
      </c>
      <c r="DF72">
        <v>4</v>
      </c>
      <c r="DG72">
        <v>2</v>
      </c>
      <c r="DH72" t="s">
        <v>211</v>
      </c>
      <c r="DI72" t="s">
        <v>223</v>
      </c>
      <c r="DJ72"/>
      <c r="DK72"/>
      <c r="DL72"/>
      <c r="DM72"/>
      <c r="DN72"/>
      <c r="DO72"/>
      <c r="DP72"/>
      <c r="DQ72"/>
      <c r="DR72"/>
      <c r="DS72"/>
    </row>
    <row r="73" spans="1:123" s="12" customFormat="1">
      <c r="A73" s="64">
        <v>43692.476550925923</v>
      </c>
      <c r="B73" s="65" t="s">
        <v>96</v>
      </c>
      <c r="C73" s="10">
        <f t="shared" si="4"/>
        <v>72</v>
      </c>
      <c r="D73" s="73" t="s">
        <v>139</v>
      </c>
      <c r="E73" s="65" t="s">
        <v>119</v>
      </c>
      <c r="F73" s="72">
        <v>14</v>
      </c>
      <c r="G73" s="65">
        <v>23.8</v>
      </c>
      <c r="H73" s="65">
        <v>59.1</v>
      </c>
      <c r="I73" s="65">
        <v>619</v>
      </c>
      <c r="J73" s="65">
        <v>0.9</v>
      </c>
      <c r="K73" s="65">
        <v>99</v>
      </c>
      <c r="L73" s="66">
        <v>0.3</v>
      </c>
      <c r="M73" s="81">
        <v>23.8704</v>
      </c>
      <c r="N73" s="65">
        <v>0.06</v>
      </c>
      <c r="O73" s="65">
        <v>44.3</v>
      </c>
      <c r="P73" s="66">
        <v>1.34</v>
      </c>
      <c r="Q73" s="11"/>
      <c r="R73" s="66">
        <v>1213</v>
      </c>
      <c r="S73" s="66">
        <v>630</v>
      </c>
      <c r="T73" s="66">
        <v>1573</v>
      </c>
      <c r="U73" s="11"/>
      <c r="V73" s="24">
        <f t="shared" si="5"/>
        <v>921.5</v>
      </c>
      <c r="W73" s="11"/>
      <c r="X73" s="66">
        <v>10.6</v>
      </c>
      <c r="Y73" s="66">
        <v>0</v>
      </c>
      <c r="Z73" s="66">
        <v>4.5</v>
      </c>
      <c r="AA73" s="66">
        <v>4.5</v>
      </c>
      <c r="AB73" s="66">
        <v>15.1</v>
      </c>
      <c r="AC73" s="66"/>
      <c r="AD73" s="66">
        <v>7</v>
      </c>
      <c r="AE73" s="11"/>
      <c r="AF73" s="89" t="s">
        <v>225</v>
      </c>
      <c r="AG73" t="s">
        <v>211</v>
      </c>
      <c r="AH73" t="s">
        <v>212</v>
      </c>
      <c r="AI73" t="s">
        <v>212</v>
      </c>
      <c r="AJ73" t="s">
        <v>334</v>
      </c>
      <c r="AK73">
        <v>0.3</v>
      </c>
      <c r="AL73" t="s">
        <v>281</v>
      </c>
      <c r="AM73" t="s">
        <v>328</v>
      </c>
      <c r="AN73" t="s">
        <v>215</v>
      </c>
      <c r="AO73" t="s">
        <v>234</v>
      </c>
      <c r="AP73" t="s">
        <v>217</v>
      </c>
      <c r="AQ73" t="s">
        <v>227</v>
      </c>
      <c r="AR73" t="s">
        <v>214</v>
      </c>
      <c r="AS73" t="s">
        <v>214</v>
      </c>
      <c r="AT73" t="s">
        <v>248</v>
      </c>
      <c r="AU73" t="s">
        <v>211</v>
      </c>
      <c r="AV73">
        <v>1213</v>
      </c>
      <c r="AW73">
        <v>630</v>
      </c>
      <c r="AX73">
        <v>1573</v>
      </c>
      <c r="AY73">
        <f t="shared" si="3"/>
        <v>1138.6666666666667</v>
      </c>
      <c r="AZ73" t="s">
        <v>211</v>
      </c>
      <c r="BA73">
        <v>2.74</v>
      </c>
      <c r="BB73">
        <v>0.5</v>
      </c>
      <c r="BC73" t="s">
        <v>211</v>
      </c>
      <c r="BD73">
        <v>0.5</v>
      </c>
      <c r="BE73" t="s">
        <v>224</v>
      </c>
      <c r="BF73" t="s">
        <v>221</v>
      </c>
      <c r="BG73" t="s">
        <v>221</v>
      </c>
      <c r="BH73">
        <v>1.8</v>
      </c>
      <c r="BI73">
        <v>0.59</v>
      </c>
      <c r="BJ73">
        <v>0.83</v>
      </c>
      <c r="BK73">
        <v>1.34</v>
      </c>
      <c r="BL73">
        <v>2</v>
      </c>
      <c r="BM73">
        <v>4</v>
      </c>
      <c r="BN73">
        <v>4</v>
      </c>
      <c r="BO73">
        <v>2</v>
      </c>
      <c r="BP73">
        <v>3</v>
      </c>
      <c r="BQ73">
        <v>5</v>
      </c>
      <c r="BR73">
        <v>7</v>
      </c>
      <c r="BS73">
        <v>2</v>
      </c>
      <c r="BT73">
        <v>3</v>
      </c>
      <c r="BU73">
        <v>4</v>
      </c>
      <c r="BV73">
        <v>6</v>
      </c>
      <c r="BW73">
        <v>6</v>
      </c>
      <c r="BX73">
        <v>4</v>
      </c>
      <c r="BY73">
        <v>2</v>
      </c>
      <c r="BZ73">
        <v>2</v>
      </c>
      <c r="CA73">
        <v>3</v>
      </c>
      <c r="CB73">
        <v>3</v>
      </c>
      <c r="CC73">
        <v>4</v>
      </c>
      <c r="CD73">
        <v>2</v>
      </c>
      <c r="CE73">
        <v>1</v>
      </c>
      <c r="CF73">
        <v>5</v>
      </c>
      <c r="CG73">
        <v>1</v>
      </c>
      <c r="CH73">
        <v>1</v>
      </c>
      <c r="CI73">
        <v>6</v>
      </c>
      <c r="CJ73">
        <v>3</v>
      </c>
      <c r="CK73">
        <v>5</v>
      </c>
      <c r="CL73">
        <v>3</v>
      </c>
      <c r="CM73">
        <v>4</v>
      </c>
      <c r="CN73" t="s">
        <v>223</v>
      </c>
      <c r="CO73">
        <v>1</v>
      </c>
      <c r="CP73">
        <v>7</v>
      </c>
      <c r="CQ73">
        <v>7</v>
      </c>
      <c r="CR73">
        <v>1</v>
      </c>
      <c r="CS73">
        <v>1</v>
      </c>
      <c r="CT73">
        <v>7</v>
      </c>
      <c r="CU73">
        <v>6</v>
      </c>
      <c r="CV73">
        <v>2</v>
      </c>
      <c r="CW73">
        <v>2</v>
      </c>
      <c r="CX73" t="s">
        <v>257</v>
      </c>
      <c r="CY73">
        <v>6</v>
      </c>
      <c r="CZ73">
        <v>2</v>
      </c>
      <c r="DA73">
        <v>2</v>
      </c>
      <c r="DB73">
        <v>2</v>
      </c>
      <c r="DC73">
        <v>4</v>
      </c>
      <c r="DD73">
        <v>4</v>
      </c>
      <c r="DE73">
        <v>4</v>
      </c>
      <c r="DF73">
        <v>5</v>
      </c>
      <c r="DG73">
        <v>2</v>
      </c>
      <c r="DH73" t="s">
        <v>223</v>
      </c>
      <c r="DI73" t="s">
        <v>223</v>
      </c>
      <c r="DJ73"/>
      <c r="DK73"/>
      <c r="DL73"/>
      <c r="DM73"/>
      <c r="DN73"/>
      <c r="DO73"/>
      <c r="DP73"/>
      <c r="DQ73"/>
      <c r="DR73"/>
      <c r="DS73"/>
    </row>
    <row r="74" spans="1:123" s="12" customFormat="1">
      <c r="A74" s="64">
        <v>43692.483043981483</v>
      </c>
      <c r="B74" s="65" t="s">
        <v>97</v>
      </c>
      <c r="C74" s="10">
        <f t="shared" si="4"/>
        <v>73</v>
      </c>
      <c r="D74" s="73" t="s">
        <v>139</v>
      </c>
      <c r="E74" s="65" t="s">
        <v>119</v>
      </c>
      <c r="F74" s="72">
        <v>14</v>
      </c>
      <c r="G74" s="65">
        <v>23.3</v>
      </c>
      <c r="H74" s="65">
        <v>60.2</v>
      </c>
      <c r="I74" s="65">
        <v>632</v>
      </c>
      <c r="J74" s="65">
        <v>0.9</v>
      </c>
      <c r="K74" s="65">
        <v>97</v>
      </c>
      <c r="L74" s="66">
        <v>0.74</v>
      </c>
      <c r="M74" s="81">
        <v>23.334599999999998</v>
      </c>
      <c r="N74" s="65">
        <v>0.01</v>
      </c>
      <c r="O74" s="65">
        <v>45.6</v>
      </c>
      <c r="P74" s="66">
        <v>1.34</v>
      </c>
      <c r="Q74" s="11"/>
      <c r="R74" s="66">
        <v>88</v>
      </c>
      <c r="S74" s="66">
        <v>100</v>
      </c>
      <c r="T74" s="66">
        <v>144</v>
      </c>
      <c r="U74" s="11"/>
      <c r="V74" s="24">
        <f t="shared" si="5"/>
        <v>94</v>
      </c>
      <c r="W74" s="11"/>
      <c r="X74" s="66">
        <v>1.1000000000000001</v>
      </c>
      <c r="Y74" s="66">
        <v>0.9</v>
      </c>
      <c r="Z74" s="66">
        <v>7.4</v>
      </c>
      <c r="AA74" s="66">
        <v>8.3000000000000007</v>
      </c>
      <c r="AB74" s="66">
        <v>9.4</v>
      </c>
      <c r="AC74" s="66"/>
      <c r="AD74" s="66">
        <v>3</v>
      </c>
      <c r="AE74" s="11"/>
      <c r="AF74" s="89" t="s">
        <v>225</v>
      </c>
      <c r="AG74" t="s">
        <v>211</v>
      </c>
      <c r="AH74" t="s">
        <v>212</v>
      </c>
      <c r="AI74" t="s">
        <v>212</v>
      </c>
      <c r="AJ74" t="s">
        <v>334</v>
      </c>
      <c r="AK74">
        <v>0.74</v>
      </c>
      <c r="AL74" t="s">
        <v>281</v>
      </c>
      <c r="AM74" t="s">
        <v>328</v>
      </c>
      <c r="AN74" t="s">
        <v>215</v>
      </c>
      <c r="AO74" t="s">
        <v>234</v>
      </c>
      <c r="AP74" t="s">
        <v>217</v>
      </c>
      <c r="AQ74" t="s">
        <v>227</v>
      </c>
      <c r="AR74" t="s">
        <v>214</v>
      </c>
      <c r="AS74" t="s">
        <v>214</v>
      </c>
      <c r="AT74" t="s">
        <v>248</v>
      </c>
      <c r="AU74" t="s">
        <v>211</v>
      </c>
      <c r="AV74">
        <v>88</v>
      </c>
      <c r="AW74">
        <v>100</v>
      </c>
      <c r="AX74">
        <v>144</v>
      </c>
      <c r="AY74">
        <f t="shared" si="3"/>
        <v>110.66666666666667</v>
      </c>
      <c r="AZ74" t="s">
        <v>211</v>
      </c>
      <c r="BA74">
        <v>2.74</v>
      </c>
      <c r="BB74">
        <v>1</v>
      </c>
      <c r="BC74" t="s">
        <v>211</v>
      </c>
      <c r="BD74">
        <v>4</v>
      </c>
      <c r="BE74" t="s">
        <v>224</v>
      </c>
      <c r="BF74" t="s">
        <v>221</v>
      </c>
      <c r="BG74" t="s">
        <v>221</v>
      </c>
      <c r="BH74">
        <v>1.8</v>
      </c>
      <c r="BI74">
        <v>0.59</v>
      </c>
      <c r="BJ74">
        <v>0.83</v>
      </c>
      <c r="BK74">
        <v>1.34</v>
      </c>
      <c r="BL74">
        <v>2</v>
      </c>
      <c r="BM74">
        <v>3</v>
      </c>
      <c r="BN74">
        <v>1</v>
      </c>
      <c r="BO74">
        <v>3</v>
      </c>
      <c r="BP74">
        <v>2</v>
      </c>
      <c r="BQ74">
        <v>5</v>
      </c>
      <c r="BR74">
        <v>3</v>
      </c>
      <c r="BS74">
        <v>3</v>
      </c>
      <c r="BT74">
        <v>3</v>
      </c>
      <c r="BU74" t="s">
        <v>223</v>
      </c>
      <c r="BV74">
        <v>5</v>
      </c>
      <c r="BW74" t="s">
        <v>223</v>
      </c>
      <c r="BX74">
        <v>3</v>
      </c>
      <c r="BY74">
        <v>3</v>
      </c>
      <c r="BZ74" t="s">
        <v>223</v>
      </c>
      <c r="CA74">
        <v>3</v>
      </c>
      <c r="CB74">
        <v>5</v>
      </c>
      <c r="CC74">
        <v>6</v>
      </c>
      <c r="CD74">
        <v>2</v>
      </c>
      <c r="CE74">
        <v>1</v>
      </c>
      <c r="CF74">
        <v>3</v>
      </c>
      <c r="CG74">
        <v>1</v>
      </c>
      <c r="CH74">
        <v>2</v>
      </c>
      <c r="CI74">
        <v>6</v>
      </c>
      <c r="CJ74">
        <v>6</v>
      </c>
      <c r="CK74">
        <v>6</v>
      </c>
      <c r="CL74">
        <v>6</v>
      </c>
      <c r="CM74">
        <v>1</v>
      </c>
      <c r="CN74" t="s">
        <v>223</v>
      </c>
      <c r="CO74">
        <v>3</v>
      </c>
      <c r="CP74">
        <v>3</v>
      </c>
      <c r="CQ74">
        <v>6</v>
      </c>
      <c r="CR74">
        <v>2</v>
      </c>
      <c r="CS74">
        <v>2</v>
      </c>
      <c r="CT74">
        <v>1</v>
      </c>
      <c r="CU74">
        <v>5</v>
      </c>
      <c r="CV74">
        <v>3</v>
      </c>
      <c r="CW74">
        <v>2</v>
      </c>
      <c r="CX74" t="s">
        <v>253</v>
      </c>
      <c r="CY74">
        <v>6</v>
      </c>
      <c r="CZ74">
        <v>2</v>
      </c>
      <c r="DA74">
        <v>3</v>
      </c>
      <c r="DB74">
        <v>1</v>
      </c>
      <c r="DC74">
        <v>5</v>
      </c>
      <c r="DD74">
        <v>3</v>
      </c>
      <c r="DE74">
        <v>4</v>
      </c>
      <c r="DF74">
        <v>3</v>
      </c>
      <c r="DG74">
        <v>5</v>
      </c>
      <c r="DH74" t="s">
        <v>223</v>
      </c>
      <c r="DI74" t="s">
        <v>223</v>
      </c>
      <c r="DJ74"/>
      <c r="DK74"/>
      <c r="DL74"/>
      <c r="DM74"/>
      <c r="DN74"/>
      <c r="DO74"/>
      <c r="DP74"/>
      <c r="DQ74"/>
      <c r="DR74"/>
      <c r="DS74"/>
    </row>
    <row r="75" spans="1:123" s="12" customFormat="1">
      <c r="A75" s="64">
        <v>43692.485879629632</v>
      </c>
      <c r="B75" s="65" t="s">
        <v>98</v>
      </c>
      <c r="C75" s="10">
        <f t="shared" si="4"/>
        <v>74</v>
      </c>
      <c r="D75" s="73" t="s">
        <v>139</v>
      </c>
      <c r="E75" s="65" t="s">
        <v>119</v>
      </c>
      <c r="F75" s="72">
        <v>14</v>
      </c>
      <c r="G75" s="65">
        <v>23.3</v>
      </c>
      <c r="H75" s="65">
        <v>59.7</v>
      </c>
      <c r="I75" s="65">
        <v>624</v>
      </c>
      <c r="J75" s="65">
        <v>0.9</v>
      </c>
      <c r="K75" s="65">
        <v>96</v>
      </c>
      <c r="L75" s="66">
        <v>0.74</v>
      </c>
      <c r="M75" s="81">
        <v>23.173500000000001</v>
      </c>
      <c r="N75" s="65">
        <v>0.01</v>
      </c>
      <c r="O75" s="65">
        <v>48.2</v>
      </c>
      <c r="P75" s="66">
        <v>1.34</v>
      </c>
      <c r="Q75" s="11"/>
      <c r="R75" s="66">
        <v>98</v>
      </c>
      <c r="S75" s="66">
        <v>85</v>
      </c>
      <c r="T75" s="66">
        <v>123</v>
      </c>
      <c r="U75" s="11"/>
      <c r="V75" s="24">
        <f t="shared" si="5"/>
        <v>91.5</v>
      </c>
      <c r="W75" s="11"/>
      <c r="X75" s="66">
        <v>1.4</v>
      </c>
      <c r="Y75" s="66">
        <v>1.8</v>
      </c>
      <c r="Z75" s="66">
        <v>5.4</v>
      </c>
      <c r="AA75" s="66">
        <v>7.2</v>
      </c>
      <c r="AB75" s="66">
        <v>8.6</v>
      </c>
      <c r="AC75" s="66"/>
      <c r="AD75" s="66">
        <v>5</v>
      </c>
      <c r="AE75" s="11"/>
      <c r="AF75" s="89" t="s">
        <v>225</v>
      </c>
      <c r="AG75" t="s">
        <v>211</v>
      </c>
      <c r="AH75" t="s">
        <v>212</v>
      </c>
      <c r="AI75" t="s">
        <v>212</v>
      </c>
      <c r="AJ75" t="s">
        <v>334</v>
      </c>
      <c r="AK75">
        <v>0.74</v>
      </c>
      <c r="AL75" t="s">
        <v>281</v>
      </c>
      <c r="AM75" t="s">
        <v>328</v>
      </c>
      <c r="AN75" t="s">
        <v>215</v>
      </c>
      <c r="AO75" t="s">
        <v>234</v>
      </c>
      <c r="AP75" t="s">
        <v>217</v>
      </c>
      <c r="AQ75" t="s">
        <v>227</v>
      </c>
      <c r="AR75" t="s">
        <v>214</v>
      </c>
      <c r="AS75" t="s">
        <v>214</v>
      </c>
      <c r="AT75" t="s">
        <v>248</v>
      </c>
      <c r="AU75" t="s">
        <v>211</v>
      </c>
      <c r="AV75">
        <v>98</v>
      </c>
      <c r="AW75">
        <v>85</v>
      </c>
      <c r="AX75">
        <v>123</v>
      </c>
      <c r="AY75">
        <f t="shared" si="3"/>
        <v>102</v>
      </c>
      <c r="AZ75" t="s">
        <v>211</v>
      </c>
      <c r="BA75">
        <v>2.74</v>
      </c>
      <c r="BB75">
        <v>0.5</v>
      </c>
      <c r="BC75" t="s">
        <v>211</v>
      </c>
      <c r="BD75">
        <v>4</v>
      </c>
      <c r="BE75" t="s">
        <v>224</v>
      </c>
      <c r="BF75" t="s">
        <v>221</v>
      </c>
      <c r="BG75" t="s">
        <v>221</v>
      </c>
      <c r="BH75">
        <v>1.8</v>
      </c>
      <c r="BI75">
        <v>0.59</v>
      </c>
      <c r="BJ75">
        <v>0.83</v>
      </c>
      <c r="BK75">
        <v>1.34</v>
      </c>
      <c r="BL75">
        <v>2</v>
      </c>
      <c r="BM75">
        <v>4</v>
      </c>
      <c r="BN75">
        <v>4</v>
      </c>
      <c r="BO75">
        <v>3</v>
      </c>
      <c r="BP75">
        <v>2</v>
      </c>
      <c r="BQ75">
        <v>3</v>
      </c>
      <c r="BR75">
        <v>5</v>
      </c>
      <c r="BS75">
        <v>2</v>
      </c>
      <c r="BT75">
        <v>3</v>
      </c>
      <c r="BU75">
        <v>1</v>
      </c>
      <c r="BV75">
        <v>3</v>
      </c>
      <c r="BW75">
        <v>1</v>
      </c>
      <c r="BX75">
        <v>1</v>
      </c>
      <c r="BY75">
        <v>1</v>
      </c>
      <c r="BZ75">
        <v>1</v>
      </c>
      <c r="CA75">
        <v>5</v>
      </c>
      <c r="CB75">
        <v>1</v>
      </c>
      <c r="CC75">
        <v>2</v>
      </c>
      <c r="CD75">
        <v>2</v>
      </c>
      <c r="CE75">
        <v>1</v>
      </c>
      <c r="CF75">
        <v>7</v>
      </c>
      <c r="CG75">
        <v>1</v>
      </c>
      <c r="CH75">
        <v>2</v>
      </c>
      <c r="CI75">
        <v>7</v>
      </c>
      <c r="CJ75">
        <v>1</v>
      </c>
      <c r="CK75">
        <v>7</v>
      </c>
      <c r="CL75">
        <v>1</v>
      </c>
      <c r="CM75">
        <v>1</v>
      </c>
      <c r="CN75" t="s">
        <v>223</v>
      </c>
      <c r="CO75">
        <v>1</v>
      </c>
      <c r="CP75">
        <v>7</v>
      </c>
      <c r="CQ75">
        <v>7</v>
      </c>
      <c r="CR75">
        <v>1</v>
      </c>
      <c r="CS75">
        <v>2</v>
      </c>
      <c r="CT75">
        <v>6</v>
      </c>
      <c r="CU75">
        <v>7</v>
      </c>
      <c r="CV75">
        <v>2</v>
      </c>
      <c r="CW75">
        <v>1</v>
      </c>
      <c r="CX75" t="s">
        <v>15</v>
      </c>
      <c r="CY75">
        <v>6</v>
      </c>
      <c r="CZ75">
        <v>2</v>
      </c>
      <c r="DA75">
        <v>3</v>
      </c>
      <c r="DB75">
        <v>2</v>
      </c>
      <c r="DC75">
        <v>5</v>
      </c>
      <c r="DD75">
        <v>3</v>
      </c>
      <c r="DE75">
        <v>6</v>
      </c>
      <c r="DF75">
        <v>5</v>
      </c>
      <c r="DG75">
        <v>2</v>
      </c>
      <c r="DH75" t="s">
        <v>223</v>
      </c>
      <c r="DI75" t="s">
        <v>223</v>
      </c>
      <c r="DJ75"/>
      <c r="DK75"/>
      <c r="DL75"/>
      <c r="DM75"/>
      <c r="DN75"/>
      <c r="DO75"/>
      <c r="DP75"/>
      <c r="DQ75"/>
      <c r="DR75"/>
      <c r="DS75"/>
    </row>
    <row r="76" spans="1:123" s="12" customFormat="1">
      <c r="A76" s="64">
        <v>43692.496192129627</v>
      </c>
      <c r="B76" s="65" t="s">
        <v>99</v>
      </c>
      <c r="C76" s="10">
        <f t="shared" si="4"/>
        <v>75</v>
      </c>
      <c r="D76" s="73" t="s">
        <v>139</v>
      </c>
      <c r="E76" s="65" t="s">
        <v>119</v>
      </c>
      <c r="F76" s="72">
        <v>14</v>
      </c>
      <c r="G76" s="65">
        <v>23.4</v>
      </c>
      <c r="H76" s="65">
        <v>59.4</v>
      </c>
      <c r="I76" s="65">
        <v>602</v>
      </c>
      <c r="J76" s="65">
        <v>0.8</v>
      </c>
      <c r="K76" s="65">
        <v>96</v>
      </c>
      <c r="L76" s="66">
        <v>0.56000000000000005</v>
      </c>
      <c r="M76" s="81">
        <v>22.946899999999999</v>
      </c>
      <c r="N76" s="65">
        <v>0.01</v>
      </c>
      <c r="O76" s="65">
        <v>51.3</v>
      </c>
      <c r="P76" s="66">
        <v>1.34</v>
      </c>
      <c r="Q76" s="11"/>
      <c r="R76" s="66">
        <v>236</v>
      </c>
      <c r="S76" s="66">
        <v>306</v>
      </c>
      <c r="T76" s="66">
        <v>435</v>
      </c>
      <c r="U76" s="11"/>
      <c r="V76" s="24">
        <f t="shared" si="5"/>
        <v>271</v>
      </c>
      <c r="W76" s="11"/>
      <c r="X76" s="66">
        <v>0</v>
      </c>
      <c r="Y76" s="66">
        <v>0</v>
      </c>
      <c r="Z76" s="66">
        <v>4.9000000000000004</v>
      </c>
      <c r="AA76" s="66">
        <v>4.9000000000000004</v>
      </c>
      <c r="AB76" s="66">
        <v>4.9000000000000004</v>
      </c>
      <c r="AC76" s="66"/>
      <c r="AD76" s="66">
        <v>4</v>
      </c>
      <c r="AE76" s="11"/>
      <c r="AF76" s="89" t="s">
        <v>225</v>
      </c>
      <c r="AG76" t="s">
        <v>211</v>
      </c>
      <c r="AH76" t="s">
        <v>212</v>
      </c>
      <c r="AI76" t="s">
        <v>212</v>
      </c>
      <c r="AJ76" t="s">
        <v>211</v>
      </c>
      <c r="AK76">
        <v>0.56000000000000005</v>
      </c>
      <c r="AL76" t="s">
        <v>281</v>
      </c>
      <c r="AM76" t="s">
        <v>328</v>
      </c>
      <c r="AN76" t="s">
        <v>215</v>
      </c>
      <c r="AO76" t="s">
        <v>234</v>
      </c>
      <c r="AP76" t="s">
        <v>217</v>
      </c>
      <c r="AQ76" t="s">
        <v>227</v>
      </c>
      <c r="AR76" t="s">
        <v>214</v>
      </c>
      <c r="AS76" t="s">
        <v>214</v>
      </c>
      <c r="AT76" t="s">
        <v>248</v>
      </c>
      <c r="AU76" t="s">
        <v>211</v>
      </c>
      <c r="AV76">
        <v>236</v>
      </c>
      <c r="AW76">
        <v>306</v>
      </c>
      <c r="AX76">
        <v>435</v>
      </c>
      <c r="AY76">
        <f t="shared" si="3"/>
        <v>325.66666666666669</v>
      </c>
      <c r="AZ76" t="s">
        <v>211</v>
      </c>
      <c r="BA76">
        <v>2.74</v>
      </c>
      <c r="BB76">
        <v>1</v>
      </c>
      <c r="BC76" t="s">
        <v>211</v>
      </c>
      <c r="BD76">
        <v>7.38</v>
      </c>
      <c r="BE76" t="s">
        <v>224</v>
      </c>
      <c r="BF76" t="s">
        <v>221</v>
      </c>
      <c r="BG76" t="s">
        <v>221</v>
      </c>
      <c r="BH76">
        <v>1.8</v>
      </c>
      <c r="BI76">
        <v>0.59</v>
      </c>
      <c r="BJ76">
        <v>0.83</v>
      </c>
      <c r="BK76">
        <v>1.34</v>
      </c>
      <c r="BL76">
        <v>2</v>
      </c>
      <c r="BM76">
        <v>3</v>
      </c>
      <c r="BN76">
        <v>4</v>
      </c>
      <c r="BO76">
        <v>3</v>
      </c>
      <c r="BP76">
        <v>3</v>
      </c>
      <c r="BQ76">
        <v>4</v>
      </c>
      <c r="BR76">
        <v>4</v>
      </c>
      <c r="BS76">
        <v>2</v>
      </c>
      <c r="BT76">
        <v>3</v>
      </c>
      <c r="BU76">
        <v>3</v>
      </c>
      <c r="BV76">
        <v>6</v>
      </c>
      <c r="BW76">
        <v>2</v>
      </c>
      <c r="BX76">
        <v>3</v>
      </c>
      <c r="BY76">
        <v>2</v>
      </c>
      <c r="BZ76">
        <v>1</v>
      </c>
      <c r="CA76">
        <v>6</v>
      </c>
      <c r="CB76">
        <v>2</v>
      </c>
      <c r="CC76">
        <v>3</v>
      </c>
      <c r="CD76">
        <v>2</v>
      </c>
      <c r="CE76">
        <v>1</v>
      </c>
      <c r="CF76">
        <v>6</v>
      </c>
      <c r="CG76">
        <v>1</v>
      </c>
      <c r="CH76">
        <v>2</v>
      </c>
      <c r="CI76">
        <v>6</v>
      </c>
      <c r="CJ76">
        <v>5</v>
      </c>
      <c r="CK76">
        <v>3</v>
      </c>
      <c r="CL76">
        <v>3</v>
      </c>
      <c r="CM76">
        <v>1</v>
      </c>
      <c r="CN76" t="s">
        <v>223</v>
      </c>
      <c r="CO76">
        <v>3</v>
      </c>
      <c r="CP76">
        <v>3</v>
      </c>
      <c r="CQ76">
        <v>4</v>
      </c>
      <c r="CR76">
        <v>1</v>
      </c>
      <c r="CS76">
        <v>3</v>
      </c>
      <c r="CT76">
        <v>6</v>
      </c>
      <c r="CU76">
        <v>3</v>
      </c>
      <c r="CV76">
        <v>1</v>
      </c>
      <c r="CW76">
        <v>3</v>
      </c>
      <c r="CX76" t="s">
        <v>237</v>
      </c>
      <c r="CY76">
        <v>5</v>
      </c>
      <c r="CZ76">
        <v>2</v>
      </c>
      <c r="DA76">
        <v>2</v>
      </c>
      <c r="DB76">
        <v>2</v>
      </c>
      <c r="DC76">
        <v>3</v>
      </c>
      <c r="DD76">
        <v>3</v>
      </c>
      <c r="DE76">
        <v>6</v>
      </c>
      <c r="DF76">
        <v>3</v>
      </c>
      <c r="DG76">
        <v>4</v>
      </c>
      <c r="DH76" t="s">
        <v>223</v>
      </c>
      <c r="DI76" t="s">
        <v>223</v>
      </c>
      <c r="DJ76"/>
      <c r="DK76"/>
      <c r="DL76"/>
      <c r="DM76"/>
      <c r="DN76"/>
      <c r="DO76"/>
      <c r="DP76"/>
      <c r="DQ76"/>
      <c r="DR76"/>
      <c r="DS76"/>
    </row>
    <row r="77" spans="1:123" s="12" customFormat="1">
      <c r="A77" s="64">
        <v>43692.498645833337</v>
      </c>
      <c r="B77" s="65" t="s">
        <v>100</v>
      </c>
      <c r="C77" s="10">
        <f t="shared" si="4"/>
        <v>76</v>
      </c>
      <c r="D77" s="73" t="s">
        <v>139</v>
      </c>
      <c r="E77" s="65" t="s">
        <v>119</v>
      </c>
      <c r="F77" s="72">
        <v>14</v>
      </c>
      <c r="G77" s="65">
        <v>23.8</v>
      </c>
      <c r="H77" s="65">
        <v>58.1</v>
      </c>
      <c r="I77" s="65">
        <v>635</v>
      </c>
      <c r="J77" s="65">
        <v>0.9</v>
      </c>
      <c r="K77" s="65">
        <v>93</v>
      </c>
      <c r="L77" s="66">
        <v>0.59000000000000008</v>
      </c>
      <c r="M77" s="81">
        <v>22.878599999999999</v>
      </c>
      <c r="N77" s="65">
        <v>0.02</v>
      </c>
      <c r="O77" s="65">
        <v>47.8</v>
      </c>
      <c r="P77" s="66">
        <v>1.34</v>
      </c>
      <c r="Q77" s="11"/>
      <c r="R77" s="66">
        <v>135</v>
      </c>
      <c r="S77" s="66">
        <v>144</v>
      </c>
      <c r="T77" s="66">
        <v>457</v>
      </c>
      <c r="U77" s="11"/>
      <c r="V77" s="24">
        <f t="shared" si="5"/>
        <v>139.5</v>
      </c>
      <c r="W77" s="11"/>
      <c r="X77" s="66">
        <v>5.2</v>
      </c>
      <c r="Y77" s="66">
        <v>1.2</v>
      </c>
      <c r="Z77" s="66">
        <v>3.3</v>
      </c>
      <c r="AA77" s="66">
        <v>4.5</v>
      </c>
      <c r="AB77" s="66">
        <v>9.6999999999999993</v>
      </c>
      <c r="AC77" s="66"/>
      <c r="AD77" s="66">
        <v>2</v>
      </c>
      <c r="AE77" s="11"/>
      <c r="AF77" s="89" t="s">
        <v>225</v>
      </c>
      <c r="AG77" t="s">
        <v>211</v>
      </c>
      <c r="AH77" t="s">
        <v>212</v>
      </c>
      <c r="AI77" t="s">
        <v>212</v>
      </c>
      <c r="AJ77" t="s">
        <v>211</v>
      </c>
      <c r="AK77">
        <v>0.59000000000000008</v>
      </c>
      <c r="AL77" t="s">
        <v>281</v>
      </c>
      <c r="AM77" t="s">
        <v>328</v>
      </c>
      <c r="AN77" t="s">
        <v>215</v>
      </c>
      <c r="AO77" t="s">
        <v>234</v>
      </c>
      <c r="AP77" t="s">
        <v>217</v>
      </c>
      <c r="AQ77" t="s">
        <v>227</v>
      </c>
      <c r="AR77" t="s">
        <v>214</v>
      </c>
      <c r="AS77" t="s">
        <v>214</v>
      </c>
      <c r="AT77" t="s">
        <v>248</v>
      </c>
      <c r="AU77" t="s">
        <v>211</v>
      </c>
      <c r="AV77">
        <v>135</v>
      </c>
      <c r="AW77">
        <v>144</v>
      </c>
      <c r="AX77">
        <v>457</v>
      </c>
      <c r="AY77">
        <f t="shared" si="3"/>
        <v>245.33333333333334</v>
      </c>
      <c r="AZ77" t="s">
        <v>211</v>
      </c>
      <c r="BA77">
        <v>2.74</v>
      </c>
      <c r="BB77">
        <v>1</v>
      </c>
      <c r="BC77" t="s">
        <v>211</v>
      </c>
      <c r="BD77">
        <v>3</v>
      </c>
      <c r="BE77" t="s">
        <v>224</v>
      </c>
      <c r="BF77" t="s">
        <v>221</v>
      </c>
      <c r="BG77" t="s">
        <v>221</v>
      </c>
      <c r="BH77">
        <v>1.8</v>
      </c>
      <c r="BI77">
        <v>0.59</v>
      </c>
      <c r="BJ77">
        <v>0.83</v>
      </c>
      <c r="BK77">
        <v>1.34</v>
      </c>
      <c r="BL77">
        <v>1</v>
      </c>
      <c r="BM77">
        <v>2</v>
      </c>
      <c r="BN77">
        <v>1</v>
      </c>
      <c r="BO77">
        <v>3</v>
      </c>
      <c r="BP77">
        <v>2</v>
      </c>
      <c r="BQ77">
        <v>2</v>
      </c>
      <c r="BR77">
        <v>2</v>
      </c>
      <c r="BS77">
        <v>1</v>
      </c>
      <c r="BT77">
        <v>3</v>
      </c>
      <c r="BU77" t="s">
        <v>223</v>
      </c>
      <c r="BV77">
        <v>2</v>
      </c>
      <c r="BW77" t="s">
        <v>223</v>
      </c>
      <c r="BX77">
        <v>2</v>
      </c>
      <c r="BY77">
        <v>1</v>
      </c>
      <c r="BZ77" t="s">
        <v>223</v>
      </c>
      <c r="CA77">
        <v>6</v>
      </c>
      <c r="CB77">
        <v>2</v>
      </c>
      <c r="CC77">
        <v>4</v>
      </c>
      <c r="CD77">
        <v>2</v>
      </c>
      <c r="CE77">
        <v>1</v>
      </c>
      <c r="CF77">
        <v>5</v>
      </c>
      <c r="CG77">
        <v>1</v>
      </c>
      <c r="CH77">
        <v>2</v>
      </c>
      <c r="CI77">
        <v>7</v>
      </c>
      <c r="CJ77">
        <v>1</v>
      </c>
      <c r="CK77">
        <v>7</v>
      </c>
      <c r="CL77">
        <v>1</v>
      </c>
      <c r="CM77">
        <v>1</v>
      </c>
      <c r="CN77" t="s">
        <v>223</v>
      </c>
      <c r="CO77">
        <v>1</v>
      </c>
      <c r="CP77">
        <v>7</v>
      </c>
      <c r="CQ77">
        <v>7</v>
      </c>
      <c r="CR77">
        <v>2</v>
      </c>
      <c r="CS77">
        <v>3</v>
      </c>
      <c r="CT77">
        <v>5</v>
      </c>
      <c r="CU77">
        <v>6</v>
      </c>
      <c r="CV77">
        <v>2</v>
      </c>
      <c r="CW77">
        <v>3</v>
      </c>
      <c r="CX77" t="s">
        <v>257</v>
      </c>
      <c r="CY77">
        <v>3</v>
      </c>
      <c r="CZ77">
        <v>2</v>
      </c>
      <c r="DA77">
        <v>3</v>
      </c>
      <c r="DB77">
        <v>2</v>
      </c>
      <c r="DC77">
        <v>4</v>
      </c>
      <c r="DD77">
        <v>4</v>
      </c>
      <c r="DE77">
        <v>4</v>
      </c>
      <c r="DF77">
        <v>3</v>
      </c>
      <c r="DG77">
        <v>2</v>
      </c>
      <c r="DH77" t="s">
        <v>223</v>
      </c>
      <c r="DI77" t="s">
        <v>223</v>
      </c>
      <c r="DJ77"/>
      <c r="DK77"/>
      <c r="DL77"/>
      <c r="DM77"/>
      <c r="DN77"/>
      <c r="DO77"/>
      <c r="DP77"/>
      <c r="DQ77"/>
      <c r="DR77"/>
      <c r="DS77"/>
    </row>
    <row r="78" spans="1:123" s="12" customFormat="1">
      <c r="A78" s="64">
        <v>43692.551805555559</v>
      </c>
      <c r="B78" s="65" t="s">
        <v>101</v>
      </c>
      <c r="C78" s="10">
        <f t="shared" si="4"/>
        <v>77</v>
      </c>
      <c r="D78" s="73" t="s">
        <v>139</v>
      </c>
      <c r="E78" s="65" t="s">
        <v>119</v>
      </c>
      <c r="F78" s="72">
        <v>14</v>
      </c>
      <c r="G78" s="65">
        <v>23.8</v>
      </c>
      <c r="H78" s="65">
        <v>58.4</v>
      </c>
      <c r="I78" s="65">
        <v>677</v>
      </c>
      <c r="J78" s="65">
        <v>0.8</v>
      </c>
      <c r="K78" s="65">
        <v>95</v>
      </c>
      <c r="L78" s="66">
        <v>0.87</v>
      </c>
      <c r="M78" s="81">
        <v>23.729600000000001</v>
      </c>
      <c r="N78" s="65">
        <v>0.03</v>
      </c>
      <c r="O78" s="65">
        <v>47.5</v>
      </c>
      <c r="P78" s="66">
        <v>0</v>
      </c>
      <c r="Q78" s="11"/>
      <c r="R78" s="66">
        <v>1483</v>
      </c>
      <c r="S78" s="66">
        <v>2130</v>
      </c>
      <c r="T78" s="66">
        <v>335</v>
      </c>
      <c r="U78" s="11"/>
      <c r="V78" s="24">
        <f t="shared" si="5"/>
        <v>1806.5</v>
      </c>
      <c r="W78" s="11"/>
      <c r="X78" s="66">
        <v>8.4</v>
      </c>
      <c r="Y78" s="66">
        <v>1.3</v>
      </c>
      <c r="Z78" s="66">
        <v>4.4000000000000004</v>
      </c>
      <c r="AA78" s="66">
        <v>5.7</v>
      </c>
      <c r="AB78" s="66">
        <v>14.100000000000001</v>
      </c>
      <c r="AC78" s="66"/>
      <c r="AD78" s="66">
        <v>6</v>
      </c>
      <c r="AE78" s="11"/>
      <c r="AF78" s="89" t="s">
        <v>210</v>
      </c>
      <c r="AG78" t="s">
        <v>211</v>
      </c>
      <c r="AH78" t="s">
        <v>212</v>
      </c>
      <c r="AI78" t="s">
        <v>212</v>
      </c>
      <c r="AJ78" t="s">
        <v>334</v>
      </c>
      <c r="AK78">
        <v>0.87</v>
      </c>
      <c r="AL78" t="s">
        <v>281</v>
      </c>
      <c r="AM78" t="s">
        <v>328</v>
      </c>
      <c r="AN78" t="s">
        <v>215</v>
      </c>
      <c r="AO78" t="s">
        <v>283</v>
      </c>
      <c r="AP78" t="s">
        <v>217</v>
      </c>
      <c r="AQ78" t="s">
        <v>247</v>
      </c>
      <c r="AR78" t="s">
        <v>214</v>
      </c>
      <c r="AS78" t="s">
        <v>214</v>
      </c>
      <c r="AT78" t="s">
        <v>221</v>
      </c>
      <c r="AU78" t="s">
        <v>211</v>
      </c>
      <c r="AV78">
        <v>1483</v>
      </c>
      <c r="AW78">
        <v>2130</v>
      </c>
      <c r="AX78">
        <v>335</v>
      </c>
      <c r="AY78">
        <f t="shared" si="3"/>
        <v>1316</v>
      </c>
      <c r="AZ78" t="s">
        <v>211</v>
      </c>
      <c r="BA78">
        <v>2.7</v>
      </c>
      <c r="BB78">
        <v>0.2</v>
      </c>
      <c r="BC78" t="s">
        <v>211</v>
      </c>
      <c r="BD78">
        <v>0.3</v>
      </c>
      <c r="BE78" t="s">
        <v>250</v>
      </c>
      <c r="BF78" t="s">
        <v>221</v>
      </c>
      <c r="BG78" t="s">
        <v>221</v>
      </c>
      <c r="BH78">
        <v>1.78</v>
      </c>
      <c r="BI78">
        <v>0.73</v>
      </c>
      <c r="BJ78">
        <v>0.69</v>
      </c>
      <c r="BK78" t="s">
        <v>221</v>
      </c>
      <c r="BL78">
        <v>2</v>
      </c>
      <c r="BM78">
        <v>3</v>
      </c>
      <c r="BN78">
        <v>4</v>
      </c>
      <c r="BO78">
        <v>2</v>
      </c>
      <c r="BP78">
        <v>2</v>
      </c>
      <c r="BQ78">
        <v>5</v>
      </c>
      <c r="BR78">
        <v>6</v>
      </c>
      <c r="BS78">
        <v>3</v>
      </c>
      <c r="BT78">
        <v>3</v>
      </c>
      <c r="BU78">
        <v>5</v>
      </c>
      <c r="BV78">
        <v>5</v>
      </c>
      <c r="BW78">
        <v>5</v>
      </c>
      <c r="BX78">
        <v>3</v>
      </c>
      <c r="BY78">
        <v>3</v>
      </c>
      <c r="BZ78">
        <v>2</v>
      </c>
      <c r="CA78">
        <v>7</v>
      </c>
      <c r="CB78">
        <v>3</v>
      </c>
      <c r="CC78">
        <v>5</v>
      </c>
      <c r="CD78">
        <v>1</v>
      </c>
      <c r="CE78">
        <v>1</v>
      </c>
      <c r="CF78">
        <v>6</v>
      </c>
      <c r="CG78">
        <v>1</v>
      </c>
      <c r="CH78">
        <v>3</v>
      </c>
      <c r="CI78">
        <v>5</v>
      </c>
      <c r="CJ78">
        <v>6</v>
      </c>
      <c r="CK78">
        <v>3</v>
      </c>
      <c r="CL78">
        <v>5</v>
      </c>
      <c r="CM78">
        <v>1</v>
      </c>
      <c r="CN78" t="s">
        <v>223</v>
      </c>
      <c r="CO78">
        <v>1</v>
      </c>
      <c r="CP78">
        <v>7</v>
      </c>
      <c r="CQ78">
        <v>6</v>
      </c>
      <c r="CR78">
        <v>1</v>
      </c>
      <c r="CS78">
        <v>1</v>
      </c>
      <c r="CT78">
        <v>6</v>
      </c>
      <c r="CU78">
        <v>3</v>
      </c>
      <c r="CV78">
        <v>3</v>
      </c>
      <c r="CW78">
        <v>2</v>
      </c>
      <c r="CX78" t="s">
        <v>237</v>
      </c>
      <c r="CY78">
        <v>3</v>
      </c>
      <c r="CZ78">
        <v>2</v>
      </c>
      <c r="DA78">
        <v>2</v>
      </c>
      <c r="DB78">
        <v>1</v>
      </c>
      <c r="DC78">
        <v>2</v>
      </c>
      <c r="DD78">
        <v>2</v>
      </c>
      <c r="DE78">
        <v>2</v>
      </c>
      <c r="DF78">
        <v>3</v>
      </c>
      <c r="DG78">
        <v>4</v>
      </c>
      <c r="DH78" t="s">
        <v>335</v>
      </c>
      <c r="DI78" t="s">
        <v>223</v>
      </c>
      <c r="DJ78"/>
      <c r="DK78"/>
      <c r="DL78"/>
      <c r="DM78"/>
      <c r="DN78"/>
      <c r="DO78"/>
      <c r="DP78"/>
      <c r="DQ78"/>
      <c r="DR78"/>
      <c r="DS78"/>
    </row>
    <row r="79" spans="1:123" s="12" customFormat="1">
      <c r="A79" s="64">
        <v>43692.563159722224</v>
      </c>
      <c r="B79" s="65" t="s">
        <v>102</v>
      </c>
      <c r="C79" s="10">
        <f t="shared" si="4"/>
        <v>78</v>
      </c>
      <c r="D79" s="73" t="s">
        <v>139</v>
      </c>
      <c r="E79" s="65" t="s">
        <v>119</v>
      </c>
      <c r="F79" s="72">
        <v>14</v>
      </c>
      <c r="G79" s="65">
        <v>23.9</v>
      </c>
      <c r="H79" s="65">
        <v>58.3</v>
      </c>
      <c r="I79" s="65">
        <v>672</v>
      </c>
      <c r="J79" s="65">
        <v>0.9</v>
      </c>
      <c r="K79" s="65">
        <v>91</v>
      </c>
      <c r="L79" s="66">
        <v>0.59000000000000008</v>
      </c>
      <c r="M79" s="81">
        <v>23.6219</v>
      </c>
      <c r="N79" s="65">
        <v>0.13</v>
      </c>
      <c r="O79" s="65">
        <v>46.5</v>
      </c>
      <c r="P79" s="66">
        <v>0</v>
      </c>
      <c r="Q79" s="11"/>
      <c r="R79" s="66">
        <v>308</v>
      </c>
      <c r="S79" s="66">
        <v>147</v>
      </c>
      <c r="T79" s="66">
        <v>176</v>
      </c>
      <c r="U79" s="11"/>
      <c r="V79" s="24">
        <f t="shared" si="5"/>
        <v>227.5</v>
      </c>
      <c r="W79" s="11"/>
      <c r="X79" s="66">
        <v>7.3</v>
      </c>
      <c r="Y79" s="66">
        <v>0</v>
      </c>
      <c r="Z79" s="66">
        <v>0.8</v>
      </c>
      <c r="AA79" s="66">
        <v>0.8</v>
      </c>
      <c r="AB79" s="66">
        <v>8.1</v>
      </c>
      <c r="AC79" s="66"/>
      <c r="AD79" s="66">
        <v>5</v>
      </c>
      <c r="AE79" s="11"/>
      <c r="AF79" s="89" t="s">
        <v>210</v>
      </c>
      <c r="AG79" t="s">
        <v>211</v>
      </c>
      <c r="AH79" t="s">
        <v>212</v>
      </c>
      <c r="AI79" t="s">
        <v>212</v>
      </c>
      <c r="AJ79" t="s">
        <v>211</v>
      </c>
      <c r="AK79">
        <v>0.59000000000000008</v>
      </c>
      <c r="AL79" t="s">
        <v>213</v>
      </c>
      <c r="AM79" t="s">
        <v>214</v>
      </c>
      <c r="AN79" t="s">
        <v>215</v>
      </c>
      <c r="AO79" t="s">
        <v>283</v>
      </c>
      <c r="AP79" t="s">
        <v>217</v>
      </c>
      <c r="AQ79" t="s">
        <v>247</v>
      </c>
      <c r="AR79" t="s">
        <v>214</v>
      </c>
      <c r="AS79" t="s">
        <v>214</v>
      </c>
      <c r="AT79" t="s">
        <v>221</v>
      </c>
      <c r="AU79" t="s">
        <v>211</v>
      </c>
      <c r="AV79">
        <v>3080</v>
      </c>
      <c r="AW79">
        <v>1470</v>
      </c>
      <c r="AX79">
        <v>1757</v>
      </c>
      <c r="AY79">
        <f t="shared" si="3"/>
        <v>2102.3333333333335</v>
      </c>
      <c r="AZ79" t="s">
        <v>211</v>
      </c>
      <c r="BA79">
        <v>2.7</v>
      </c>
      <c r="BB79" t="s">
        <v>221</v>
      </c>
      <c r="BC79" t="s">
        <v>211</v>
      </c>
      <c r="BD79">
        <v>0.3</v>
      </c>
      <c r="BE79" t="s">
        <v>250</v>
      </c>
      <c r="BF79" t="s">
        <v>221</v>
      </c>
      <c r="BG79" t="s">
        <v>221</v>
      </c>
      <c r="BH79">
        <v>1.52</v>
      </c>
      <c r="BI79">
        <v>0.6</v>
      </c>
      <c r="BJ79">
        <v>0.73</v>
      </c>
      <c r="BK79" t="s">
        <v>221</v>
      </c>
      <c r="BL79">
        <v>2</v>
      </c>
      <c r="BM79">
        <v>4</v>
      </c>
      <c r="BN79">
        <v>4</v>
      </c>
      <c r="BO79">
        <v>2</v>
      </c>
      <c r="BP79">
        <v>2</v>
      </c>
      <c r="BQ79">
        <v>4</v>
      </c>
      <c r="BR79">
        <v>5</v>
      </c>
      <c r="BS79">
        <v>2</v>
      </c>
      <c r="BT79">
        <v>3</v>
      </c>
      <c r="BU79">
        <v>5</v>
      </c>
      <c r="BV79">
        <v>5</v>
      </c>
      <c r="BW79">
        <v>5</v>
      </c>
      <c r="BX79">
        <v>3</v>
      </c>
      <c r="BY79">
        <v>2</v>
      </c>
      <c r="BZ79">
        <v>2</v>
      </c>
      <c r="CA79">
        <v>6</v>
      </c>
      <c r="CB79">
        <v>6</v>
      </c>
      <c r="CC79">
        <v>5</v>
      </c>
      <c r="CD79">
        <v>2</v>
      </c>
      <c r="CE79">
        <v>1</v>
      </c>
      <c r="CF79">
        <v>7</v>
      </c>
      <c r="CG79">
        <v>1</v>
      </c>
      <c r="CH79">
        <v>3</v>
      </c>
      <c r="CI79">
        <v>7</v>
      </c>
      <c r="CJ79">
        <v>5</v>
      </c>
      <c r="CK79">
        <v>3</v>
      </c>
      <c r="CL79">
        <v>5</v>
      </c>
      <c r="CM79">
        <v>1</v>
      </c>
      <c r="CN79" t="s">
        <v>223</v>
      </c>
      <c r="CO79">
        <v>1</v>
      </c>
      <c r="CP79">
        <v>7</v>
      </c>
      <c r="CQ79">
        <v>6</v>
      </c>
      <c r="CR79">
        <v>1</v>
      </c>
      <c r="CS79">
        <v>1</v>
      </c>
      <c r="CT79">
        <v>7</v>
      </c>
      <c r="CU79">
        <v>4</v>
      </c>
      <c r="CV79">
        <v>2</v>
      </c>
      <c r="CW79">
        <v>1</v>
      </c>
      <c r="CX79" t="s">
        <v>237</v>
      </c>
      <c r="CY79">
        <v>4</v>
      </c>
      <c r="CZ79">
        <v>2</v>
      </c>
      <c r="DA79">
        <v>3</v>
      </c>
      <c r="DB79">
        <v>1</v>
      </c>
      <c r="DC79">
        <v>4</v>
      </c>
      <c r="DD79">
        <v>3</v>
      </c>
      <c r="DE79">
        <v>4</v>
      </c>
      <c r="DF79">
        <v>5</v>
      </c>
      <c r="DG79">
        <v>6</v>
      </c>
      <c r="DH79" t="s">
        <v>336</v>
      </c>
      <c r="DI79" t="s">
        <v>223</v>
      </c>
      <c r="DJ79"/>
      <c r="DK79"/>
      <c r="DL79"/>
      <c r="DM79"/>
      <c r="DN79"/>
      <c r="DO79"/>
      <c r="DP79"/>
      <c r="DQ79"/>
      <c r="DR79"/>
      <c r="DS79"/>
    </row>
    <row r="80" spans="1:123" s="12" customFormat="1">
      <c r="A80" s="64">
        <v>43692.576493055552</v>
      </c>
      <c r="B80" s="65" t="s">
        <v>103</v>
      </c>
      <c r="C80" s="10">
        <f t="shared" si="4"/>
        <v>79</v>
      </c>
      <c r="D80" s="73" t="s">
        <v>139</v>
      </c>
      <c r="E80" s="65" t="s">
        <v>119</v>
      </c>
      <c r="F80" s="72">
        <v>14</v>
      </c>
      <c r="G80" s="65">
        <v>24.6</v>
      </c>
      <c r="H80" s="65">
        <v>56.2</v>
      </c>
      <c r="I80" s="65">
        <v>585</v>
      </c>
      <c r="J80" s="65">
        <v>0.8</v>
      </c>
      <c r="K80" s="65">
        <v>91</v>
      </c>
      <c r="L80" s="66">
        <v>0.76999999999999991</v>
      </c>
      <c r="M80" s="81">
        <v>23.1067</v>
      </c>
      <c r="N80" s="65">
        <v>0.06</v>
      </c>
      <c r="O80" s="65">
        <v>47.3</v>
      </c>
      <c r="P80" s="66">
        <v>1.34</v>
      </c>
      <c r="Q80" s="11"/>
      <c r="R80" s="66">
        <v>1146</v>
      </c>
      <c r="S80" s="66">
        <v>742</v>
      </c>
      <c r="T80" s="66">
        <v>1527</v>
      </c>
      <c r="U80" s="11"/>
      <c r="V80" s="24">
        <f t="shared" si="5"/>
        <v>944</v>
      </c>
      <c r="W80" s="11"/>
      <c r="X80" s="66">
        <v>7.6</v>
      </c>
      <c r="Y80" s="66">
        <v>0.1</v>
      </c>
      <c r="Z80" s="66">
        <v>2.8</v>
      </c>
      <c r="AA80" s="66">
        <v>2.9</v>
      </c>
      <c r="AB80" s="66">
        <v>10.5</v>
      </c>
      <c r="AC80" s="66"/>
      <c r="AD80" s="66">
        <v>2</v>
      </c>
      <c r="AE80" s="11"/>
      <c r="AF80" s="89" t="s">
        <v>225</v>
      </c>
      <c r="AG80" t="s">
        <v>211</v>
      </c>
      <c r="AH80" t="s">
        <v>212</v>
      </c>
      <c r="AI80" t="s">
        <v>212</v>
      </c>
      <c r="AJ80" t="s">
        <v>211</v>
      </c>
      <c r="AK80">
        <v>0.76999999999999991</v>
      </c>
      <c r="AL80" t="s">
        <v>281</v>
      </c>
      <c r="AM80" t="s">
        <v>328</v>
      </c>
      <c r="AN80" t="s">
        <v>215</v>
      </c>
      <c r="AO80" t="s">
        <v>234</v>
      </c>
      <c r="AP80" t="s">
        <v>217</v>
      </c>
      <c r="AQ80" t="s">
        <v>227</v>
      </c>
      <c r="AR80" t="s">
        <v>214</v>
      </c>
      <c r="AS80" t="s">
        <v>214</v>
      </c>
      <c r="AT80" t="s">
        <v>248</v>
      </c>
      <c r="AU80" t="s">
        <v>211</v>
      </c>
      <c r="AV80">
        <v>1146</v>
      </c>
      <c r="AW80">
        <v>742</v>
      </c>
      <c r="AX80">
        <v>1527</v>
      </c>
      <c r="AY80">
        <f t="shared" si="3"/>
        <v>1138.3333333333333</v>
      </c>
      <c r="AZ80" t="s">
        <v>211</v>
      </c>
      <c r="BA80">
        <v>2.74</v>
      </c>
      <c r="BB80">
        <v>3</v>
      </c>
      <c r="BC80" t="s">
        <v>211</v>
      </c>
      <c r="BD80">
        <v>0.3</v>
      </c>
      <c r="BE80" t="s">
        <v>276</v>
      </c>
      <c r="BF80" t="s">
        <v>221</v>
      </c>
      <c r="BG80" t="s">
        <v>221</v>
      </c>
      <c r="BH80">
        <v>1.8</v>
      </c>
      <c r="BI80">
        <v>0.59</v>
      </c>
      <c r="BJ80">
        <v>0.83</v>
      </c>
      <c r="BK80">
        <v>1.34</v>
      </c>
      <c r="BL80">
        <v>2</v>
      </c>
      <c r="BM80">
        <v>3</v>
      </c>
      <c r="BN80">
        <v>4</v>
      </c>
      <c r="BO80">
        <v>2</v>
      </c>
      <c r="BP80">
        <v>2</v>
      </c>
      <c r="BQ80">
        <v>2</v>
      </c>
      <c r="BR80">
        <v>2</v>
      </c>
      <c r="BS80">
        <v>1</v>
      </c>
      <c r="BT80">
        <v>3</v>
      </c>
      <c r="BU80">
        <v>2</v>
      </c>
      <c r="BV80">
        <v>2</v>
      </c>
      <c r="BW80">
        <v>2</v>
      </c>
      <c r="BX80">
        <v>1</v>
      </c>
      <c r="BY80">
        <v>1</v>
      </c>
      <c r="BZ80">
        <v>1</v>
      </c>
      <c r="CA80">
        <v>6</v>
      </c>
      <c r="CB80">
        <v>6</v>
      </c>
      <c r="CC80">
        <v>6</v>
      </c>
      <c r="CD80">
        <v>2</v>
      </c>
      <c r="CE80">
        <v>1</v>
      </c>
      <c r="CF80">
        <v>6</v>
      </c>
      <c r="CG80">
        <v>1</v>
      </c>
      <c r="CH80">
        <v>2</v>
      </c>
      <c r="CI80">
        <v>7</v>
      </c>
      <c r="CJ80">
        <v>6</v>
      </c>
      <c r="CK80">
        <v>4</v>
      </c>
      <c r="CL80">
        <v>3</v>
      </c>
      <c r="CM80">
        <v>1</v>
      </c>
      <c r="CN80" t="s">
        <v>223</v>
      </c>
      <c r="CO80">
        <v>1</v>
      </c>
      <c r="CP80">
        <v>7</v>
      </c>
      <c r="CQ80">
        <v>7</v>
      </c>
      <c r="CR80">
        <v>1</v>
      </c>
      <c r="CS80">
        <v>1</v>
      </c>
      <c r="CT80">
        <v>7</v>
      </c>
      <c r="CU80">
        <v>6</v>
      </c>
      <c r="CV80">
        <v>2</v>
      </c>
      <c r="CW80">
        <v>3</v>
      </c>
      <c r="CX80" t="s">
        <v>253</v>
      </c>
      <c r="CY80">
        <v>6</v>
      </c>
      <c r="CZ80">
        <v>2</v>
      </c>
      <c r="DA80">
        <v>3</v>
      </c>
      <c r="DB80">
        <v>1</v>
      </c>
      <c r="DC80">
        <v>6</v>
      </c>
      <c r="DD80">
        <v>4</v>
      </c>
      <c r="DE80">
        <v>5</v>
      </c>
      <c r="DF80">
        <v>3</v>
      </c>
      <c r="DG80">
        <v>5</v>
      </c>
      <c r="DH80" t="s">
        <v>337</v>
      </c>
      <c r="DI80" t="s">
        <v>223</v>
      </c>
      <c r="DJ80"/>
      <c r="DK80"/>
      <c r="DL80"/>
      <c r="DM80"/>
      <c r="DN80"/>
      <c r="DO80"/>
      <c r="DP80"/>
      <c r="DQ80"/>
      <c r="DR80"/>
      <c r="DS80"/>
    </row>
    <row r="81" spans="1:123" s="12" customFormat="1">
      <c r="A81" s="64">
        <v>43692.582083333335</v>
      </c>
      <c r="B81" s="65" t="s">
        <v>104</v>
      </c>
      <c r="C81" s="10">
        <f t="shared" si="4"/>
        <v>80</v>
      </c>
      <c r="D81" s="73" t="s">
        <v>139</v>
      </c>
      <c r="E81" s="65" t="s">
        <v>119</v>
      </c>
      <c r="F81" s="72">
        <v>14</v>
      </c>
      <c r="G81" s="65">
        <v>24.2</v>
      </c>
      <c r="H81" s="65">
        <v>58</v>
      </c>
      <c r="I81" s="65">
        <v>655</v>
      </c>
      <c r="J81" s="65">
        <v>0.9</v>
      </c>
      <c r="K81" s="65">
        <v>93</v>
      </c>
      <c r="L81" s="66">
        <v>0.80999999999999994</v>
      </c>
      <c r="M81" s="81">
        <v>23.158300000000001</v>
      </c>
      <c r="N81" s="65">
        <v>7.0000000000000007E-2</v>
      </c>
      <c r="O81" s="65">
        <v>49.7</v>
      </c>
      <c r="P81" s="66">
        <v>0</v>
      </c>
      <c r="Q81" s="11"/>
      <c r="R81" s="66">
        <v>650</v>
      </c>
      <c r="S81" s="66">
        <v>430</v>
      </c>
      <c r="T81" s="66">
        <v>582</v>
      </c>
      <c r="U81" s="11"/>
      <c r="V81" s="24">
        <f t="shared" si="5"/>
        <v>540</v>
      </c>
      <c r="W81" s="11"/>
      <c r="X81" s="66">
        <v>11.1</v>
      </c>
      <c r="Y81" s="66">
        <v>0.3</v>
      </c>
      <c r="Z81" s="66">
        <v>6.3</v>
      </c>
      <c r="AA81" s="66">
        <v>6.6</v>
      </c>
      <c r="AB81" s="66">
        <v>17.7</v>
      </c>
      <c r="AC81" s="66"/>
      <c r="AD81" s="66">
        <v>7</v>
      </c>
      <c r="AE81" s="11"/>
      <c r="AF81" s="89" t="s">
        <v>225</v>
      </c>
      <c r="AG81" t="s">
        <v>211</v>
      </c>
      <c r="AH81" t="s">
        <v>212</v>
      </c>
      <c r="AI81" t="s">
        <v>212</v>
      </c>
      <c r="AJ81" t="s">
        <v>211</v>
      </c>
      <c r="AK81">
        <v>0.80999999999999994</v>
      </c>
      <c r="AL81" t="s">
        <v>281</v>
      </c>
      <c r="AM81" t="s">
        <v>328</v>
      </c>
      <c r="AN81" t="s">
        <v>215</v>
      </c>
      <c r="AO81" t="s">
        <v>234</v>
      </c>
      <c r="AP81" t="s">
        <v>217</v>
      </c>
      <c r="AQ81" t="s">
        <v>227</v>
      </c>
      <c r="AR81" t="s">
        <v>214</v>
      </c>
      <c r="AS81" t="s">
        <v>214</v>
      </c>
      <c r="AT81" t="s">
        <v>248</v>
      </c>
      <c r="AU81" t="s">
        <v>211</v>
      </c>
      <c r="AV81">
        <v>650</v>
      </c>
      <c r="AW81">
        <v>430</v>
      </c>
      <c r="AX81">
        <v>582</v>
      </c>
      <c r="AY81">
        <f t="shared" si="3"/>
        <v>554</v>
      </c>
      <c r="AZ81" t="s">
        <v>211</v>
      </c>
      <c r="BA81">
        <v>2.74</v>
      </c>
      <c r="BB81">
        <v>2</v>
      </c>
      <c r="BC81" t="s">
        <v>211</v>
      </c>
      <c r="BD81">
        <v>0.3</v>
      </c>
      <c r="BE81" t="s">
        <v>224</v>
      </c>
      <c r="BF81" t="s">
        <v>221</v>
      </c>
      <c r="BG81" t="s">
        <v>221</v>
      </c>
      <c r="BH81">
        <v>1.8</v>
      </c>
      <c r="BI81">
        <v>0.59</v>
      </c>
      <c r="BJ81">
        <v>0.83</v>
      </c>
      <c r="BK81" t="s">
        <v>221</v>
      </c>
      <c r="BL81">
        <v>2</v>
      </c>
      <c r="BM81">
        <v>3</v>
      </c>
      <c r="BN81">
        <v>2</v>
      </c>
      <c r="BO81">
        <v>2</v>
      </c>
      <c r="BP81">
        <v>2</v>
      </c>
      <c r="BQ81">
        <v>4</v>
      </c>
      <c r="BR81">
        <v>7</v>
      </c>
      <c r="BS81">
        <v>2</v>
      </c>
      <c r="BT81">
        <v>3</v>
      </c>
      <c r="BU81">
        <v>6</v>
      </c>
      <c r="BV81">
        <v>6</v>
      </c>
      <c r="BW81">
        <v>6</v>
      </c>
      <c r="BX81">
        <v>4</v>
      </c>
      <c r="BY81">
        <v>2</v>
      </c>
      <c r="BZ81">
        <v>2</v>
      </c>
      <c r="CA81">
        <v>6</v>
      </c>
      <c r="CB81">
        <v>5</v>
      </c>
      <c r="CC81">
        <v>6</v>
      </c>
      <c r="CD81">
        <v>2</v>
      </c>
      <c r="CE81">
        <v>1</v>
      </c>
      <c r="CF81">
        <v>3</v>
      </c>
      <c r="CG81">
        <v>1</v>
      </c>
      <c r="CH81">
        <v>3</v>
      </c>
      <c r="CI81">
        <v>7</v>
      </c>
      <c r="CJ81">
        <v>6</v>
      </c>
      <c r="CK81">
        <v>6</v>
      </c>
      <c r="CL81">
        <v>5</v>
      </c>
      <c r="CM81">
        <v>1</v>
      </c>
      <c r="CN81" t="s">
        <v>223</v>
      </c>
      <c r="CO81">
        <v>1</v>
      </c>
      <c r="CP81">
        <v>7</v>
      </c>
      <c r="CQ81">
        <v>7</v>
      </c>
      <c r="CR81">
        <v>1</v>
      </c>
      <c r="CS81">
        <v>1</v>
      </c>
      <c r="CT81">
        <v>7</v>
      </c>
      <c r="CU81">
        <v>4</v>
      </c>
      <c r="CV81">
        <v>2</v>
      </c>
      <c r="CW81">
        <v>3</v>
      </c>
      <c r="CX81" t="s">
        <v>237</v>
      </c>
      <c r="CY81">
        <v>5</v>
      </c>
      <c r="CZ81">
        <v>2</v>
      </c>
      <c r="DA81">
        <v>2</v>
      </c>
      <c r="DB81">
        <v>2</v>
      </c>
      <c r="DC81">
        <v>6</v>
      </c>
      <c r="DD81">
        <v>3</v>
      </c>
      <c r="DE81">
        <v>5</v>
      </c>
      <c r="DF81">
        <v>4</v>
      </c>
      <c r="DG81">
        <v>2</v>
      </c>
      <c r="DH81" t="s">
        <v>223</v>
      </c>
      <c r="DI81" t="s">
        <v>223</v>
      </c>
      <c r="DJ81"/>
      <c r="DK81"/>
      <c r="DL81"/>
      <c r="DM81"/>
      <c r="DN81"/>
      <c r="DO81"/>
      <c r="DP81"/>
      <c r="DQ81"/>
      <c r="DR81"/>
      <c r="DS81"/>
    </row>
    <row r="82" spans="1:123" s="12" customFormat="1">
      <c r="A82" s="64">
        <v>43692.587048611109</v>
      </c>
      <c r="B82" s="65" t="s">
        <v>105</v>
      </c>
      <c r="C82" s="10">
        <f t="shared" si="4"/>
        <v>81</v>
      </c>
      <c r="D82" s="73" t="s">
        <v>139</v>
      </c>
      <c r="E82" s="65" t="s">
        <v>119</v>
      </c>
      <c r="F82" s="72">
        <v>14</v>
      </c>
      <c r="G82" s="65">
        <v>24.2</v>
      </c>
      <c r="H82" s="65">
        <v>56.8</v>
      </c>
      <c r="I82" s="65">
        <v>663</v>
      </c>
      <c r="J82" s="65">
        <v>0.8</v>
      </c>
      <c r="K82" s="65">
        <v>93</v>
      </c>
      <c r="L82" s="66">
        <v>0.44000000000000006</v>
      </c>
      <c r="M82" s="81">
        <v>22.235199999999999</v>
      </c>
      <c r="N82" s="65">
        <v>0.03</v>
      </c>
      <c r="O82" s="65">
        <v>49.7</v>
      </c>
      <c r="P82" s="66">
        <v>1.34</v>
      </c>
      <c r="Q82" s="11"/>
      <c r="R82" s="66">
        <v>242</v>
      </c>
      <c r="S82" s="66">
        <v>1058</v>
      </c>
      <c r="T82" s="66">
        <v>131</v>
      </c>
      <c r="U82" s="11"/>
      <c r="V82" s="24">
        <f t="shared" si="5"/>
        <v>650</v>
      </c>
      <c r="W82" s="11"/>
      <c r="X82" s="66">
        <v>2.2000000000000002</v>
      </c>
      <c r="Y82" s="66">
        <v>0.7</v>
      </c>
      <c r="Z82" s="66">
        <v>3.5</v>
      </c>
      <c r="AA82" s="66">
        <v>4.2</v>
      </c>
      <c r="AB82" s="66">
        <v>6.4</v>
      </c>
      <c r="AC82" s="66"/>
      <c r="AD82" s="66">
        <v>5</v>
      </c>
      <c r="AE82" s="11"/>
      <c r="AF82" s="89" t="s">
        <v>225</v>
      </c>
      <c r="AG82" t="s">
        <v>211</v>
      </c>
      <c r="AH82" t="s">
        <v>221</v>
      </c>
      <c r="AI82" t="s">
        <v>221</v>
      </c>
      <c r="AJ82" t="s">
        <v>221</v>
      </c>
      <c r="AK82">
        <v>0.44000000000000006</v>
      </c>
      <c r="AL82" t="s">
        <v>281</v>
      </c>
      <c r="AM82" t="s">
        <v>328</v>
      </c>
      <c r="AN82" t="s">
        <v>215</v>
      </c>
      <c r="AO82" t="s">
        <v>234</v>
      </c>
      <c r="AP82" t="s">
        <v>217</v>
      </c>
      <c r="AQ82" t="s">
        <v>227</v>
      </c>
      <c r="AR82" t="s">
        <v>214</v>
      </c>
      <c r="AS82" t="s">
        <v>214</v>
      </c>
      <c r="AT82" t="s">
        <v>248</v>
      </c>
      <c r="AU82" t="s">
        <v>212</v>
      </c>
      <c r="AV82">
        <v>242</v>
      </c>
      <c r="AW82">
        <v>1058</v>
      </c>
      <c r="AX82">
        <v>131</v>
      </c>
      <c r="AY82">
        <f t="shared" si="3"/>
        <v>477</v>
      </c>
      <c r="AZ82" t="s">
        <v>212</v>
      </c>
      <c r="BA82">
        <v>2.74</v>
      </c>
      <c r="BB82">
        <v>0.5</v>
      </c>
      <c r="BC82" t="s">
        <v>221</v>
      </c>
      <c r="BD82" t="s">
        <v>221</v>
      </c>
      <c r="BE82" t="s">
        <v>221</v>
      </c>
      <c r="BF82" t="s">
        <v>221</v>
      </c>
      <c r="BG82" t="s">
        <v>221</v>
      </c>
      <c r="BH82">
        <v>1.8</v>
      </c>
      <c r="BI82">
        <v>0.59</v>
      </c>
      <c r="BJ82">
        <v>0.83</v>
      </c>
      <c r="BK82">
        <v>1.34</v>
      </c>
      <c r="BL82">
        <v>2</v>
      </c>
      <c r="BM82">
        <v>2</v>
      </c>
      <c r="BN82">
        <v>2</v>
      </c>
      <c r="BO82">
        <v>2</v>
      </c>
      <c r="BP82">
        <v>2</v>
      </c>
      <c r="BQ82">
        <v>4</v>
      </c>
      <c r="BR82">
        <v>5</v>
      </c>
      <c r="BS82">
        <v>2</v>
      </c>
      <c r="BT82">
        <v>3</v>
      </c>
      <c r="BU82">
        <v>6</v>
      </c>
      <c r="BV82">
        <v>6</v>
      </c>
      <c r="BW82">
        <v>6</v>
      </c>
      <c r="BX82">
        <v>3</v>
      </c>
      <c r="BY82">
        <v>2</v>
      </c>
      <c r="BZ82">
        <v>2</v>
      </c>
      <c r="CA82">
        <v>3</v>
      </c>
      <c r="CB82">
        <v>1</v>
      </c>
      <c r="CC82">
        <v>3</v>
      </c>
      <c r="CD82">
        <v>2</v>
      </c>
      <c r="CE82">
        <v>1</v>
      </c>
      <c r="CF82">
        <v>6</v>
      </c>
      <c r="CG82">
        <v>1</v>
      </c>
      <c r="CH82">
        <v>2</v>
      </c>
      <c r="CI82">
        <v>2</v>
      </c>
      <c r="CJ82">
        <v>2</v>
      </c>
      <c r="CK82">
        <v>5</v>
      </c>
      <c r="CL82">
        <v>2</v>
      </c>
      <c r="CM82">
        <v>1</v>
      </c>
      <c r="CN82" t="s">
        <v>223</v>
      </c>
      <c r="CO82">
        <v>3</v>
      </c>
      <c r="CP82">
        <v>2</v>
      </c>
      <c r="CQ82">
        <v>7</v>
      </c>
      <c r="CR82">
        <v>2</v>
      </c>
      <c r="CS82">
        <v>3</v>
      </c>
      <c r="CT82">
        <v>1</v>
      </c>
      <c r="CU82">
        <v>3</v>
      </c>
      <c r="CV82">
        <v>2</v>
      </c>
      <c r="CW82">
        <v>2</v>
      </c>
      <c r="CX82" t="s">
        <v>249</v>
      </c>
      <c r="CY82">
        <v>4</v>
      </c>
      <c r="CZ82">
        <v>2</v>
      </c>
      <c r="DA82">
        <v>3</v>
      </c>
      <c r="DB82">
        <v>1</v>
      </c>
      <c r="DC82">
        <v>5</v>
      </c>
      <c r="DD82">
        <v>3</v>
      </c>
      <c r="DE82">
        <v>4</v>
      </c>
      <c r="DF82">
        <v>3</v>
      </c>
      <c r="DG82">
        <v>2</v>
      </c>
      <c r="DH82" t="s">
        <v>223</v>
      </c>
      <c r="DI82" t="s">
        <v>223</v>
      </c>
      <c r="DJ82"/>
      <c r="DK82"/>
      <c r="DL82"/>
      <c r="DM82"/>
      <c r="DN82"/>
      <c r="DO82"/>
      <c r="DP82"/>
      <c r="DQ82"/>
      <c r="DR82"/>
      <c r="DS82"/>
    </row>
    <row r="83" spans="1:123" s="12" customFormat="1">
      <c r="A83" s="64">
        <v>43692.591886574075</v>
      </c>
      <c r="B83" s="65" t="s">
        <v>106</v>
      </c>
      <c r="C83" s="10">
        <f t="shared" si="4"/>
        <v>82</v>
      </c>
      <c r="D83" s="73" t="s">
        <v>139</v>
      </c>
      <c r="E83" s="65" t="s">
        <v>119</v>
      </c>
      <c r="F83" s="72">
        <v>14</v>
      </c>
      <c r="G83" s="65">
        <v>23.9</v>
      </c>
      <c r="H83" s="65">
        <v>59</v>
      </c>
      <c r="I83" s="65">
        <v>632</v>
      </c>
      <c r="J83" s="65">
        <v>0.8</v>
      </c>
      <c r="K83" s="65">
        <v>91</v>
      </c>
      <c r="L83" s="66">
        <v>0.53</v>
      </c>
      <c r="M83" s="81">
        <v>22.694800000000001</v>
      </c>
      <c r="N83" s="65">
        <v>0.02</v>
      </c>
      <c r="O83" s="65">
        <v>47.9</v>
      </c>
      <c r="P83" s="66">
        <v>1.34</v>
      </c>
      <c r="Q83" s="11"/>
      <c r="R83" s="66">
        <v>128</v>
      </c>
      <c r="S83" s="66">
        <v>132</v>
      </c>
      <c r="T83" s="66">
        <v>108</v>
      </c>
      <c r="U83" s="11"/>
      <c r="V83" s="24">
        <f t="shared" si="5"/>
        <v>130</v>
      </c>
      <c r="W83" s="11"/>
      <c r="X83" s="66">
        <v>2.2000000000000002</v>
      </c>
      <c r="Y83" s="66">
        <v>0.1</v>
      </c>
      <c r="Z83" s="66">
        <v>6.9</v>
      </c>
      <c r="AA83" s="66">
        <v>7</v>
      </c>
      <c r="AB83" s="66">
        <v>9.1999999999999993</v>
      </c>
      <c r="AC83" s="66"/>
      <c r="AD83" s="66">
        <v>5</v>
      </c>
      <c r="AE83" s="11"/>
      <c r="AF83" s="89" t="s">
        <v>225</v>
      </c>
      <c r="AG83" t="s">
        <v>211</v>
      </c>
      <c r="AH83" t="s">
        <v>212</v>
      </c>
      <c r="AI83" t="s">
        <v>212</v>
      </c>
      <c r="AJ83" t="s">
        <v>212</v>
      </c>
      <c r="AK83">
        <v>0.53</v>
      </c>
      <c r="AL83" t="s">
        <v>281</v>
      </c>
      <c r="AM83" t="s">
        <v>328</v>
      </c>
      <c r="AN83" t="s">
        <v>215</v>
      </c>
      <c r="AO83" t="s">
        <v>234</v>
      </c>
      <c r="AP83" t="s">
        <v>217</v>
      </c>
      <c r="AQ83" t="s">
        <v>227</v>
      </c>
      <c r="AR83" t="s">
        <v>214</v>
      </c>
      <c r="AS83" t="s">
        <v>214</v>
      </c>
      <c r="AT83" t="s">
        <v>248</v>
      </c>
      <c r="AU83" t="s">
        <v>211</v>
      </c>
      <c r="AV83">
        <v>128</v>
      </c>
      <c r="AW83">
        <v>132</v>
      </c>
      <c r="AX83">
        <v>108</v>
      </c>
      <c r="AY83">
        <f t="shared" si="3"/>
        <v>122.66666666666667</v>
      </c>
      <c r="AZ83" t="s">
        <v>211</v>
      </c>
      <c r="BA83">
        <v>2.74</v>
      </c>
      <c r="BB83" t="s">
        <v>221</v>
      </c>
      <c r="BC83" t="s">
        <v>211</v>
      </c>
      <c r="BD83">
        <v>2.5</v>
      </c>
      <c r="BE83" t="s">
        <v>256</v>
      </c>
      <c r="BF83" t="s">
        <v>221</v>
      </c>
      <c r="BG83" t="s">
        <v>221</v>
      </c>
      <c r="BH83">
        <v>1.8</v>
      </c>
      <c r="BI83">
        <v>0.59</v>
      </c>
      <c r="BJ83">
        <v>0.83</v>
      </c>
      <c r="BK83">
        <v>1.34</v>
      </c>
      <c r="BL83">
        <v>2</v>
      </c>
      <c r="BM83">
        <v>3</v>
      </c>
      <c r="BN83">
        <v>4</v>
      </c>
      <c r="BO83">
        <v>2</v>
      </c>
      <c r="BP83">
        <v>2</v>
      </c>
      <c r="BQ83">
        <v>3</v>
      </c>
      <c r="BR83">
        <v>5</v>
      </c>
      <c r="BS83">
        <v>2</v>
      </c>
      <c r="BT83">
        <v>3</v>
      </c>
      <c r="BU83">
        <v>4</v>
      </c>
      <c r="BV83">
        <v>3</v>
      </c>
      <c r="BW83">
        <v>5</v>
      </c>
      <c r="BX83">
        <v>3</v>
      </c>
      <c r="BY83">
        <v>3</v>
      </c>
      <c r="BZ83">
        <v>1</v>
      </c>
      <c r="CA83">
        <v>6</v>
      </c>
      <c r="CB83">
        <v>4</v>
      </c>
      <c r="CC83">
        <v>3</v>
      </c>
      <c r="CD83">
        <v>2</v>
      </c>
      <c r="CE83">
        <v>1</v>
      </c>
      <c r="CF83">
        <v>5</v>
      </c>
      <c r="CG83">
        <v>1</v>
      </c>
      <c r="CH83">
        <v>1</v>
      </c>
      <c r="CI83">
        <v>4</v>
      </c>
      <c r="CJ83">
        <v>5</v>
      </c>
      <c r="CK83">
        <v>3</v>
      </c>
      <c r="CL83">
        <v>5</v>
      </c>
      <c r="CM83">
        <v>4</v>
      </c>
      <c r="CN83" t="s">
        <v>223</v>
      </c>
      <c r="CO83">
        <v>2</v>
      </c>
      <c r="CP83">
        <v>6</v>
      </c>
      <c r="CQ83">
        <v>5</v>
      </c>
      <c r="CR83">
        <v>2</v>
      </c>
      <c r="CS83">
        <v>3</v>
      </c>
      <c r="CT83">
        <v>3</v>
      </c>
      <c r="CU83">
        <v>4</v>
      </c>
      <c r="CV83">
        <v>2</v>
      </c>
      <c r="CW83">
        <v>3</v>
      </c>
      <c r="CX83" t="s">
        <v>237</v>
      </c>
      <c r="CY83">
        <v>3</v>
      </c>
      <c r="CZ83">
        <v>2</v>
      </c>
      <c r="DA83">
        <v>3</v>
      </c>
      <c r="DB83">
        <v>2</v>
      </c>
      <c r="DC83">
        <v>3</v>
      </c>
      <c r="DD83">
        <v>3</v>
      </c>
      <c r="DE83">
        <v>4</v>
      </c>
      <c r="DF83">
        <v>3</v>
      </c>
      <c r="DG83">
        <v>4</v>
      </c>
      <c r="DH83" t="s">
        <v>338</v>
      </c>
      <c r="DI83" t="s">
        <v>223</v>
      </c>
      <c r="DJ83"/>
      <c r="DK83"/>
      <c r="DL83"/>
      <c r="DM83"/>
      <c r="DN83"/>
      <c r="DO83"/>
      <c r="DP83"/>
      <c r="DQ83"/>
      <c r="DR83"/>
      <c r="DS83"/>
    </row>
    <row r="84" spans="1:123" s="12" customFormat="1">
      <c r="A84" s="64">
        <v>43692.596238425926</v>
      </c>
      <c r="B84" s="65" t="s">
        <v>107</v>
      </c>
      <c r="C84" s="10">
        <f t="shared" si="4"/>
        <v>83</v>
      </c>
      <c r="D84" s="73" t="s">
        <v>139</v>
      </c>
      <c r="E84" s="65" t="s">
        <v>119</v>
      </c>
      <c r="F84" s="72">
        <v>14</v>
      </c>
      <c r="G84" s="65">
        <v>23</v>
      </c>
      <c r="H84" s="65">
        <v>62</v>
      </c>
      <c r="I84" s="65">
        <v>632</v>
      </c>
      <c r="J84" s="65">
        <v>0.8</v>
      </c>
      <c r="K84" s="65">
        <v>92</v>
      </c>
      <c r="L84" s="66">
        <v>0.53</v>
      </c>
      <c r="M84" s="81">
        <v>22.707899999999999</v>
      </c>
      <c r="N84" s="65">
        <v>0.05</v>
      </c>
      <c r="O84" s="65">
        <v>48</v>
      </c>
      <c r="P84" s="66">
        <v>1.34</v>
      </c>
      <c r="Q84" s="11"/>
      <c r="R84" s="66">
        <v>341</v>
      </c>
      <c r="S84" s="66">
        <v>268</v>
      </c>
      <c r="T84" s="66">
        <v>347</v>
      </c>
      <c r="U84" s="11"/>
      <c r="V84" s="24">
        <f t="shared" si="5"/>
        <v>304.5</v>
      </c>
      <c r="W84" s="11"/>
      <c r="X84" s="66">
        <v>12.4</v>
      </c>
      <c r="Y84" s="66">
        <v>0</v>
      </c>
      <c r="Z84" s="66">
        <v>7.4</v>
      </c>
      <c r="AA84" s="66">
        <v>7.4</v>
      </c>
      <c r="AB84" s="66">
        <v>19.8</v>
      </c>
      <c r="AC84" s="66"/>
      <c r="AD84" s="66">
        <v>3</v>
      </c>
      <c r="AE84" s="11"/>
      <c r="AF84" s="89" t="s">
        <v>225</v>
      </c>
      <c r="AG84" t="s">
        <v>211</v>
      </c>
      <c r="AH84" t="s">
        <v>212</v>
      </c>
      <c r="AI84" t="s">
        <v>212</v>
      </c>
      <c r="AJ84" t="s">
        <v>212</v>
      </c>
      <c r="AK84">
        <v>0.53</v>
      </c>
      <c r="AL84" t="s">
        <v>281</v>
      </c>
      <c r="AM84" t="s">
        <v>328</v>
      </c>
      <c r="AN84" t="s">
        <v>215</v>
      </c>
      <c r="AO84" t="s">
        <v>234</v>
      </c>
      <c r="AP84" t="s">
        <v>217</v>
      </c>
      <c r="AQ84" t="s">
        <v>227</v>
      </c>
      <c r="AR84" t="s">
        <v>214</v>
      </c>
      <c r="AS84" t="s">
        <v>214</v>
      </c>
      <c r="AT84" t="s">
        <v>248</v>
      </c>
      <c r="AU84" t="s">
        <v>211</v>
      </c>
      <c r="AV84">
        <v>341</v>
      </c>
      <c r="AW84">
        <v>268</v>
      </c>
      <c r="AX84">
        <v>347</v>
      </c>
      <c r="AY84">
        <f t="shared" si="3"/>
        <v>318.66666666666669</v>
      </c>
      <c r="AZ84" t="s">
        <v>211</v>
      </c>
      <c r="BA84">
        <v>2.74</v>
      </c>
      <c r="BB84" t="s">
        <v>221</v>
      </c>
      <c r="BC84" t="s">
        <v>211</v>
      </c>
      <c r="BD84">
        <v>0.5</v>
      </c>
      <c r="BE84" t="s">
        <v>256</v>
      </c>
      <c r="BF84" t="s">
        <v>221</v>
      </c>
      <c r="BG84" t="s">
        <v>221</v>
      </c>
      <c r="BH84">
        <v>1.8</v>
      </c>
      <c r="BI84">
        <v>0.59</v>
      </c>
      <c r="BJ84">
        <v>0.83</v>
      </c>
      <c r="BK84">
        <v>1.34</v>
      </c>
      <c r="BL84">
        <v>1</v>
      </c>
      <c r="BM84">
        <v>3</v>
      </c>
      <c r="BN84">
        <v>3</v>
      </c>
      <c r="BO84">
        <v>1</v>
      </c>
      <c r="BP84">
        <v>2</v>
      </c>
      <c r="BQ84">
        <v>2</v>
      </c>
      <c r="BR84">
        <v>3</v>
      </c>
      <c r="BS84">
        <v>2</v>
      </c>
      <c r="BT84">
        <v>3</v>
      </c>
      <c r="BU84">
        <v>4</v>
      </c>
      <c r="BV84">
        <v>3</v>
      </c>
      <c r="BW84">
        <v>3</v>
      </c>
      <c r="BX84">
        <v>3</v>
      </c>
      <c r="BY84">
        <v>2</v>
      </c>
      <c r="BZ84">
        <v>2</v>
      </c>
      <c r="CA84">
        <v>3</v>
      </c>
      <c r="CB84">
        <v>2</v>
      </c>
      <c r="CC84">
        <v>1</v>
      </c>
      <c r="CD84">
        <v>2</v>
      </c>
      <c r="CE84">
        <v>1</v>
      </c>
      <c r="CF84">
        <v>2</v>
      </c>
      <c r="CG84">
        <v>1</v>
      </c>
      <c r="CH84">
        <v>3</v>
      </c>
      <c r="CI84">
        <v>5</v>
      </c>
      <c r="CJ84">
        <v>2</v>
      </c>
      <c r="CK84">
        <v>2</v>
      </c>
      <c r="CL84">
        <v>2</v>
      </c>
      <c r="CM84">
        <v>5</v>
      </c>
      <c r="CN84" t="s">
        <v>339</v>
      </c>
      <c r="CO84">
        <v>2</v>
      </c>
      <c r="CP84">
        <v>4</v>
      </c>
      <c r="CQ84">
        <v>4</v>
      </c>
      <c r="CR84">
        <v>1</v>
      </c>
      <c r="CS84">
        <v>2</v>
      </c>
      <c r="CT84">
        <v>4</v>
      </c>
      <c r="CU84">
        <v>4</v>
      </c>
      <c r="CV84">
        <v>2</v>
      </c>
      <c r="CW84">
        <v>2</v>
      </c>
      <c r="CX84" t="s">
        <v>237</v>
      </c>
      <c r="CY84">
        <v>7</v>
      </c>
      <c r="CZ84">
        <v>2</v>
      </c>
      <c r="DA84">
        <v>2</v>
      </c>
      <c r="DB84">
        <v>2</v>
      </c>
      <c r="DC84">
        <v>5</v>
      </c>
      <c r="DD84">
        <v>5</v>
      </c>
      <c r="DE84">
        <v>5</v>
      </c>
      <c r="DF84">
        <v>5</v>
      </c>
      <c r="DG84">
        <v>4</v>
      </c>
      <c r="DH84" t="s">
        <v>340</v>
      </c>
      <c r="DI84" t="s">
        <v>223</v>
      </c>
      <c r="DJ84"/>
      <c r="DK84"/>
      <c r="DL84"/>
      <c r="DM84"/>
      <c r="DN84"/>
      <c r="DO84"/>
      <c r="DP84"/>
      <c r="DQ84"/>
      <c r="DR84"/>
      <c r="DS84"/>
    </row>
    <row r="85" spans="1:123" s="12" customFormat="1">
      <c r="A85" s="64">
        <v>43692.601620370369</v>
      </c>
      <c r="B85" s="65" t="s">
        <v>108</v>
      </c>
      <c r="C85" s="10">
        <f t="shared" si="4"/>
        <v>84</v>
      </c>
      <c r="D85" s="73" t="s">
        <v>139</v>
      </c>
      <c r="E85" s="65" t="s">
        <v>119</v>
      </c>
      <c r="F85" s="72">
        <v>14</v>
      </c>
      <c r="G85" s="65">
        <v>23.7</v>
      </c>
      <c r="H85" s="65">
        <v>57.9</v>
      </c>
      <c r="I85" s="65">
        <v>653</v>
      </c>
      <c r="J85" s="65">
        <v>0.8</v>
      </c>
      <c r="K85" s="65">
        <v>91</v>
      </c>
      <c r="L85" s="66">
        <v>0.37</v>
      </c>
      <c r="M85" s="81">
        <v>22.254799999999999</v>
      </c>
      <c r="N85" s="65">
        <v>0.02</v>
      </c>
      <c r="O85" s="65">
        <v>48</v>
      </c>
      <c r="P85" s="66">
        <v>1.34</v>
      </c>
      <c r="Q85" s="11"/>
      <c r="R85" s="66">
        <v>61</v>
      </c>
      <c r="S85" s="66">
        <v>65</v>
      </c>
      <c r="T85" s="66">
        <v>85</v>
      </c>
      <c r="U85" s="11"/>
      <c r="V85" s="24">
        <f t="shared" si="5"/>
        <v>63</v>
      </c>
      <c r="W85" s="11"/>
      <c r="X85" s="66">
        <v>0.3</v>
      </c>
      <c r="Y85" s="66">
        <v>0.8</v>
      </c>
      <c r="Z85" s="66">
        <v>8</v>
      </c>
      <c r="AA85" s="66">
        <v>8.8000000000000007</v>
      </c>
      <c r="AB85" s="66">
        <v>9.1000000000000014</v>
      </c>
      <c r="AC85" s="66"/>
      <c r="AD85" s="66">
        <v>4</v>
      </c>
      <c r="AE85" s="11"/>
      <c r="AF85" s="89" t="s">
        <v>225</v>
      </c>
      <c r="AG85" t="s">
        <v>211</v>
      </c>
      <c r="AH85" t="s">
        <v>221</v>
      </c>
      <c r="AI85" t="s">
        <v>221</v>
      </c>
      <c r="AJ85" t="s">
        <v>221</v>
      </c>
      <c r="AK85">
        <v>0.37</v>
      </c>
      <c r="AL85" t="s">
        <v>281</v>
      </c>
      <c r="AM85" t="s">
        <v>328</v>
      </c>
      <c r="AN85" t="s">
        <v>215</v>
      </c>
      <c r="AO85" t="s">
        <v>234</v>
      </c>
      <c r="AP85" t="s">
        <v>217</v>
      </c>
      <c r="AQ85" t="s">
        <v>227</v>
      </c>
      <c r="AR85" t="s">
        <v>214</v>
      </c>
      <c r="AS85" t="s">
        <v>214</v>
      </c>
      <c r="AT85" t="s">
        <v>248</v>
      </c>
      <c r="AU85" t="s">
        <v>212</v>
      </c>
      <c r="AV85">
        <v>61</v>
      </c>
      <c r="AW85">
        <v>65</v>
      </c>
      <c r="AX85">
        <v>85</v>
      </c>
      <c r="AY85">
        <f t="shared" si="3"/>
        <v>70.333333333333329</v>
      </c>
      <c r="AZ85" t="s">
        <v>211</v>
      </c>
      <c r="BA85">
        <v>2.74</v>
      </c>
      <c r="BB85">
        <v>1.5</v>
      </c>
      <c r="BC85" t="s">
        <v>221</v>
      </c>
      <c r="BD85" t="s">
        <v>221</v>
      </c>
      <c r="BE85" t="s">
        <v>221</v>
      </c>
      <c r="BF85" t="s">
        <v>221</v>
      </c>
      <c r="BG85" t="s">
        <v>221</v>
      </c>
      <c r="BH85">
        <v>1.8</v>
      </c>
      <c r="BI85">
        <v>0.59</v>
      </c>
      <c r="BJ85">
        <v>0.83</v>
      </c>
      <c r="BK85">
        <v>1.34</v>
      </c>
      <c r="BL85">
        <v>2</v>
      </c>
      <c r="BM85">
        <v>2</v>
      </c>
      <c r="BN85">
        <v>1</v>
      </c>
      <c r="BO85">
        <v>1</v>
      </c>
      <c r="BP85">
        <v>2</v>
      </c>
      <c r="BQ85">
        <v>3</v>
      </c>
      <c r="BR85">
        <v>4</v>
      </c>
      <c r="BS85">
        <v>1</v>
      </c>
      <c r="BT85">
        <v>3</v>
      </c>
      <c r="BU85" t="s">
        <v>223</v>
      </c>
      <c r="BV85">
        <v>6</v>
      </c>
      <c r="BW85" t="s">
        <v>223</v>
      </c>
      <c r="BX85">
        <v>4</v>
      </c>
      <c r="BY85">
        <v>1</v>
      </c>
      <c r="BZ85" t="s">
        <v>223</v>
      </c>
      <c r="CA85">
        <v>6</v>
      </c>
      <c r="CB85">
        <v>3</v>
      </c>
      <c r="CC85">
        <v>5</v>
      </c>
      <c r="CD85">
        <v>2</v>
      </c>
      <c r="CE85">
        <v>1</v>
      </c>
      <c r="CF85">
        <v>4</v>
      </c>
      <c r="CG85">
        <v>1</v>
      </c>
      <c r="CH85">
        <v>3</v>
      </c>
      <c r="CI85">
        <v>6</v>
      </c>
      <c r="CJ85">
        <v>3</v>
      </c>
      <c r="CK85">
        <v>3</v>
      </c>
      <c r="CL85">
        <v>3</v>
      </c>
      <c r="CM85">
        <v>1</v>
      </c>
      <c r="CN85" t="s">
        <v>223</v>
      </c>
      <c r="CO85">
        <v>2</v>
      </c>
      <c r="CP85">
        <v>5</v>
      </c>
      <c r="CQ85">
        <v>7</v>
      </c>
      <c r="CR85">
        <v>2</v>
      </c>
      <c r="CS85">
        <v>3</v>
      </c>
      <c r="CT85">
        <v>5</v>
      </c>
      <c r="CU85">
        <v>6</v>
      </c>
      <c r="CV85">
        <v>2</v>
      </c>
      <c r="CW85">
        <v>1</v>
      </c>
      <c r="CX85" t="s">
        <v>237</v>
      </c>
      <c r="CY85">
        <v>6</v>
      </c>
      <c r="CZ85">
        <v>2</v>
      </c>
      <c r="DA85">
        <v>3</v>
      </c>
      <c r="DB85">
        <v>2</v>
      </c>
      <c r="DC85">
        <v>5</v>
      </c>
      <c r="DD85">
        <v>2</v>
      </c>
      <c r="DE85">
        <v>5</v>
      </c>
      <c r="DF85">
        <v>3</v>
      </c>
      <c r="DG85">
        <v>2</v>
      </c>
      <c r="DH85" t="s">
        <v>223</v>
      </c>
      <c r="DI85" t="s">
        <v>223</v>
      </c>
      <c r="DJ85"/>
      <c r="DK85"/>
      <c r="DL85"/>
      <c r="DM85"/>
      <c r="DN85"/>
      <c r="DO85"/>
      <c r="DP85"/>
      <c r="DQ85"/>
      <c r="DR85"/>
      <c r="DS85"/>
    </row>
    <row r="86" spans="1:123" s="12" customFormat="1">
      <c r="A86" s="64">
        <v>43692.625740740739</v>
      </c>
      <c r="B86" s="65" t="s">
        <v>109</v>
      </c>
      <c r="C86" s="10">
        <f t="shared" si="4"/>
        <v>85</v>
      </c>
      <c r="D86" s="73" t="s">
        <v>139</v>
      </c>
      <c r="E86" s="65" t="s">
        <v>119</v>
      </c>
      <c r="F86" s="72">
        <v>14</v>
      </c>
      <c r="G86" s="65">
        <v>23</v>
      </c>
      <c r="H86" s="65">
        <v>60.7</v>
      </c>
      <c r="I86" s="65">
        <v>611</v>
      </c>
      <c r="J86" s="65">
        <v>0.8</v>
      </c>
      <c r="K86" s="65">
        <v>91</v>
      </c>
      <c r="L86" s="66">
        <v>0.51</v>
      </c>
      <c r="M86" s="81">
        <v>22.9635</v>
      </c>
      <c r="N86" s="65">
        <v>0.01</v>
      </c>
      <c r="O86" s="65">
        <v>50.7</v>
      </c>
      <c r="P86" s="66">
        <v>1.34</v>
      </c>
      <c r="Q86" s="11"/>
      <c r="R86" s="66">
        <v>101</v>
      </c>
      <c r="S86" s="66">
        <v>106</v>
      </c>
      <c r="T86" s="66">
        <v>202</v>
      </c>
      <c r="U86" s="11"/>
      <c r="V86" s="24">
        <f t="shared" si="5"/>
        <v>103.5</v>
      </c>
      <c r="W86" s="11"/>
      <c r="X86" s="66">
        <v>0</v>
      </c>
      <c r="Y86" s="66">
        <v>0.1</v>
      </c>
      <c r="Z86" s="66">
        <v>5.8</v>
      </c>
      <c r="AA86" s="66">
        <v>5.8999999999999995</v>
      </c>
      <c r="AB86" s="66">
        <v>5.8999999999999995</v>
      </c>
      <c r="AC86" s="66"/>
      <c r="AD86" s="66">
        <v>6</v>
      </c>
      <c r="AE86" s="11"/>
      <c r="AF86" s="89" t="s">
        <v>225</v>
      </c>
      <c r="AG86" t="s">
        <v>211</v>
      </c>
      <c r="AH86" t="s">
        <v>221</v>
      </c>
      <c r="AI86" t="s">
        <v>221</v>
      </c>
      <c r="AJ86" t="s">
        <v>221</v>
      </c>
      <c r="AK86">
        <v>0.51</v>
      </c>
      <c r="AL86" t="s">
        <v>281</v>
      </c>
      <c r="AM86" t="s">
        <v>328</v>
      </c>
      <c r="AN86" t="s">
        <v>215</v>
      </c>
      <c r="AO86" t="s">
        <v>234</v>
      </c>
      <c r="AP86" t="s">
        <v>217</v>
      </c>
      <c r="AQ86" t="s">
        <v>227</v>
      </c>
      <c r="AR86" t="s">
        <v>214</v>
      </c>
      <c r="AS86" t="s">
        <v>214</v>
      </c>
      <c r="AT86" t="s">
        <v>248</v>
      </c>
      <c r="AU86" t="s">
        <v>211</v>
      </c>
      <c r="AV86">
        <v>101</v>
      </c>
      <c r="AW86">
        <v>106</v>
      </c>
      <c r="AX86">
        <v>202</v>
      </c>
      <c r="AY86">
        <f t="shared" si="3"/>
        <v>136.33333333333334</v>
      </c>
      <c r="AZ86" t="s">
        <v>211</v>
      </c>
      <c r="BA86">
        <v>2.74</v>
      </c>
      <c r="BB86">
        <v>0.5</v>
      </c>
      <c r="BC86" t="s">
        <v>221</v>
      </c>
      <c r="BD86" t="s">
        <v>221</v>
      </c>
      <c r="BE86" t="s">
        <v>221</v>
      </c>
      <c r="BF86" t="s">
        <v>221</v>
      </c>
      <c r="BG86" t="s">
        <v>221</v>
      </c>
      <c r="BH86">
        <v>1.8</v>
      </c>
      <c r="BI86">
        <v>0.59</v>
      </c>
      <c r="BJ86">
        <v>0.83</v>
      </c>
      <c r="BK86">
        <v>1.34</v>
      </c>
      <c r="BL86">
        <v>2</v>
      </c>
      <c r="BM86">
        <v>3</v>
      </c>
      <c r="BN86">
        <v>4</v>
      </c>
      <c r="BO86">
        <v>3</v>
      </c>
      <c r="BP86">
        <v>2</v>
      </c>
      <c r="BQ86">
        <v>4</v>
      </c>
      <c r="BR86">
        <v>6</v>
      </c>
      <c r="BS86">
        <v>2</v>
      </c>
      <c r="BT86">
        <v>3</v>
      </c>
      <c r="BU86">
        <v>6</v>
      </c>
      <c r="BV86">
        <v>6</v>
      </c>
      <c r="BW86">
        <v>6</v>
      </c>
      <c r="BX86">
        <v>3</v>
      </c>
      <c r="BY86">
        <v>2</v>
      </c>
      <c r="BZ86">
        <v>2</v>
      </c>
      <c r="CA86">
        <v>6</v>
      </c>
      <c r="CB86">
        <v>2</v>
      </c>
      <c r="CC86">
        <v>5</v>
      </c>
      <c r="CD86">
        <v>2</v>
      </c>
      <c r="CE86">
        <v>1</v>
      </c>
      <c r="CF86">
        <v>3</v>
      </c>
      <c r="CG86">
        <v>1</v>
      </c>
      <c r="CH86">
        <v>2</v>
      </c>
      <c r="CI86">
        <v>4</v>
      </c>
      <c r="CJ86">
        <v>3</v>
      </c>
      <c r="CK86">
        <v>4</v>
      </c>
      <c r="CL86">
        <v>3</v>
      </c>
      <c r="CM86">
        <v>4</v>
      </c>
      <c r="CN86" t="s">
        <v>223</v>
      </c>
      <c r="CO86">
        <v>4</v>
      </c>
      <c r="CP86">
        <v>1</v>
      </c>
      <c r="CQ86">
        <v>6</v>
      </c>
      <c r="CR86">
        <v>2</v>
      </c>
      <c r="CS86">
        <v>3</v>
      </c>
      <c r="CT86">
        <v>1</v>
      </c>
      <c r="CU86">
        <v>3</v>
      </c>
      <c r="CV86">
        <v>1</v>
      </c>
      <c r="CW86">
        <v>3</v>
      </c>
      <c r="CX86" t="s">
        <v>237</v>
      </c>
      <c r="CY86">
        <v>4</v>
      </c>
      <c r="CZ86">
        <v>2</v>
      </c>
      <c r="DA86">
        <v>3</v>
      </c>
      <c r="DB86">
        <v>1</v>
      </c>
      <c r="DC86">
        <v>6</v>
      </c>
      <c r="DD86">
        <v>4</v>
      </c>
      <c r="DE86">
        <v>6</v>
      </c>
      <c r="DF86">
        <v>3</v>
      </c>
      <c r="DG86">
        <v>1</v>
      </c>
      <c r="DH86" t="s">
        <v>223</v>
      </c>
      <c r="DI86" t="s">
        <v>223</v>
      </c>
      <c r="DJ86"/>
      <c r="DK86"/>
      <c r="DL86"/>
      <c r="DM86"/>
      <c r="DN86"/>
      <c r="DO86"/>
      <c r="DP86"/>
      <c r="DQ86"/>
      <c r="DR86"/>
      <c r="DS86"/>
    </row>
    <row r="87" spans="1:123" s="12" customFormat="1">
      <c r="A87" s="64">
        <v>43692.617812500001</v>
      </c>
      <c r="B87" s="65" t="s">
        <v>110</v>
      </c>
      <c r="C87" s="10">
        <f t="shared" si="4"/>
        <v>86</v>
      </c>
      <c r="D87" s="73" t="s">
        <v>139</v>
      </c>
      <c r="E87" s="65" t="s">
        <v>119</v>
      </c>
      <c r="F87" s="72">
        <v>14</v>
      </c>
      <c r="G87" s="65">
        <v>22.7</v>
      </c>
      <c r="H87" s="65">
        <v>61.6</v>
      </c>
      <c r="I87" s="65">
        <v>615</v>
      </c>
      <c r="J87" s="65">
        <v>0.9</v>
      </c>
      <c r="K87" s="65">
        <v>91</v>
      </c>
      <c r="L87" s="66">
        <v>0.44000000000000006</v>
      </c>
      <c r="M87" s="81">
        <v>23.029399999999999</v>
      </c>
      <c r="N87" s="65">
        <v>0.02</v>
      </c>
      <c r="O87" s="65">
        <v>51.2</v>
      </c>
      <c r="P87" s="66">
        <v>1.34</v>
      </c>
      <c r="Q87" s="11"/>
      <c r="R87" s="66">
        <v>119</v>
      </c>
      <c r="S87" s="66">
        <v>74</v>
      </c>
      <c r="T87" s="66">
        <v>162</v>
      </c>
      <c r="U87" s="11"/>
      <c r="V87" s="24">
        <f t="shared" si="5"/>
        <v>96.5</v>
      </c>
      <c r="W87" s="11"/>
      <c r="X87" s="66">
        <v>0</v>
      </c>
      <c r="Y87" s="66">
        <v>0</v>
      </c>
      <c r="Z87" s="66">
        <v>6.6</v>
      </c>
      <c r="AA87" s="66">
        <v>6.6</v>
      </c>
      <c r="AB87" s="66">
        <v>6.6</v>
      </c>
      <c r="AC87" s="66"/>
      <c r="AD87" s="66">
        <v>5</v>
      </c>
      <c r="AE87" s="11"/>
      <c r="AF87" s="89" t="s">
        <v>225</v>
      </c>
      <c r="AG87" t="s">
        <v>211</v>
      </c>
      <c r="AH87" t="s">
        <v>221</v>
      </c>
      <c r="AI87" t="s">
        <v>221</v>
      </c>
      <c r="AJ87" t="s">
        <v>221</v>
      </c>
      <c r="AK87">
        <v>0.44000000000000006</v>
      </c>
      <c r="AL87" t="s">
        <v>281</v>
      </c>
      <c r="AM87" t="s">
        <v>328</v>
      </c>
      <c r="AN87" t="s">
        <v>215</v>
      </c>
      <c r="AO87" t="s">
        <v>234</v>
      </c>
      <c r="AP87" t="s">
        <v>217</v>
      </c>
      <c r="AQ87" t="s">
        <v>227</v>
      </c>
      <c r="AR87" t="s">
        <v>214</v>
      </c>
      <c r="AS87" t="s">
        <v>214</v>
      </c>
      <c r="AT87" t="s">
        <v>248</v>
      </c>
      <c r="AU87" t="s">
        <v>212</v>
      </c>
      <c r="AV87">
        <v>119</v>
      </c>
      <c r="AW87">
        <v>74</v>
      </c>
      <c r="AX87">
        <v>162</v>
      </c>
      <c r="AY87">
        <f t="shared" si="3"/>
        <v>118.33333333333333</v>
      </c>
      <c r="AZ87" t="s">
        <v>212</v>
      </c>
      <c r="BA87">
        <v>2.74</v>
      </c>
      <c r="BB87">
        <v>0.5</v>
      </c>
      <c r="BC87" t="s">
        <v>221</v>
      </c>
      <c r="BD87" t="s">
        <v>221</v>
      </c>
      <c r="BE87" t="s">
        <v>221</v>
      </c>
      <c r="BF87" t="s">
        <v>221</v>
      </c>
      <c r="BG87" t="s">
        <v>221</v>
      </c>
      <c r="BH87">
        <v>1.8</v>
      </c>
      <c r="BI87">
        <v>0.59</v>
      </c>
      <c r="BJ87">
        <v>0.83</v>
      </c>
      <c r="BK87">
        <v>1.34</v>
      </c>
      <c r="BL87">
        <v>2</v>
      </c>
      <c r="BM87">
        <v>2</v>
      </c>
      <c r="BN87">
        <v>4</v>
      </c>
      <c r="BO87">
        <v>2</v>
      </c>
      <c r="BP87">
        <v>2</v>
      </c>
      <c r="BQ87">
        <v>4</v>
      </c>
      <c r="BR87">
        <v>5</v>
      </c>
      <c r="BS87">
        <v>3</v>
      </c>
      <c r="BT87">
        <v>3</v>
      </c>
      <c r="BU87">
        <v>6</v>
      </c>
      <c r="BV87">
        <v>5</v>
      </c>
      <c r="BW87">
        <v>6</v>
      </c>
      <c r="BX87">
        <v>4</v>
      </c>
      <c r="BY87">
        <v>3</v>
      </c>
      <c r="BZ87">
        <v>2</v>
      </c>
      <c r="CA87">
        <v>5</v>
      </c>
      <c r="CB87">
        <v>3</v>
      </c>
      <c r="CC87">
        <v>2</v>
      </c>
      <c r="CD87">
        <v>2</v>
      </c>
      <c r="CE87">
        <v>1</v>
      </c>
      <c r="CF87">
        <v>4</v>
      </c>
      <c r="CG87">
        <v>1</v>
      </c>
      <c r="CH87">
        <v>3</v>
      </c>
      <c r="CI87">
        <v>6</v>
      </c>
      <c r="CJ87">
        <v>4</v>
      </c>
      <c r="CK87">
        <v>5</v>
      </c>
      <c r="CL87">
        <v>4</v>
      </c>
      <c r="CM87">
        <v>4</v>
      </c>
      <c r="CN87" t="s">
        <v>223</v>
      </c>
      <c r="CO87">
        <v>3</v>
      </c>
      <c r="CP87">
        <v>2</v>
      </c>
      <c r="CQ87">
        <v>5</v>
      </c>
      <c r="CR87">
        <v>2</v>
      </c>
      <c r="CS87">
        <v>3</v>
      </c>
      <c r="CT87">
        <v>3</v>
      </c>
      <c r="CU87">
        <v>5</v>
      </c>
      <c r="CV87">
        <v>2</v>
      </c>
      <c r="CW87">
        <v>2</v>
      </c>
      <c r="CX87" t="s">
        <v>15</v>
      </c>
      <c r="CY87">
        <v>5</v>
      </c>
      <c r="CZ87">
        <v>2</v>
      </c>
      <c r="DA87">
        <v>3</v>
      </c>
      <c r="DB87">
        <v>1</v>
      </c>
      <c r="DC87">
        <v>4</v>
      </c>
      <c r="DD87">
        <v>3</v>
      </c>
      <c r="DE87">
        <v>4</v>
      </c>
      <c r="DF87">
        <v>5</v>
      </c>
      <c r="DG87">
        <v>1</v>
      </c>
      <c r="DH87" t="s">
        <v>341</v>
      </c>
      <c r="DI87" t="s">
        <v>223</v>
      </c>
      <c r="DJ87"/>
      <c r="DK87"/>
      <c r="DL87"/>
      <c r="DM87"/>
      <c r="DN87"/>
      <c r="DO87"/>
      <c r="DP87"/>
      <c r="DQ87"/>
      <c r="DR87"/>
      <c r="DS87"/>
    </row>
    <row r="88" spans="1:123" s="12" customFormat="1">
      <c r="A88" s="64">
        <v>43692.621400462966</v>
      </c>
      <c r="B88" s="65" t="s">
        <v>111</v>
      </c>
      <c r="C88" s="10">
        <f t="shared" si="4"/>
        <v>87</v>
      </c>
      <c r="D88" s="73" t="s">
        <v>139</v>
      </c>
      <c r="E88" s="65" t="s">
        <v>119</v>
      </c>
      <c r="F88" s="72">
        <v>14</v>
      </c>
      <c r="G88" s="65">
        <v>23.1</v>
      </c>
      <c r="H88" s="65">
        <v>60.8</v>
      </c>
      <c r="I88" s="65">
        <v>580</v>
      </c>
      <c r="J88" s="65">
        <v>0.9</v>
      </c>
      <c r="K88" s="65">
        <v>91</v>
      </c>
      <c r="L88" s="66">
        <v>0.59000000000000008</v>
      </c>
      <c r="M88" s="81">
        <v>23.2775</v>
      </c>
      <c r="N88" s="65">
        <v>0.02</v>
      </c>
      <c r="O88" s="65">
        <v>50.4</v>
      </c>
      <c r="P88" s="66">
        <v>0</v>
      </c>
      <c r="Q88" s="11"/>
      <c r="R88" s="66">
        <v>396</v>
      </c>
      <c r="S88" s="66">
        <v>443</v>
      </c>
      <c r="T88" s="66">
        <v>464</v>
      </c>
      <c r="U88" s="11"/>
      <c r="V88" s="24">
        <f t="shared" si="5"/>
        <v>419.5</v>
      </c>
      <c r="W88" s="11"/>
      <c r="X88" s="66">
        <v>0</v>
      </c>
      <c r="Y88" s="66">
        <v>0.2</v>
      </c>
      <c r="Z88" s="66">
        <v>4.9000000000000004</v>
      </c>
      <c r="AA88" s="66">
        <v>5.1000000000000005</v>
      </c>
      <c r="AB88" s="66">
        <v>5.1000000000000005</v>
      </c>
      <c r="AC88" s="66"/>
      <c r="AD88" s="66">
        <v>6</v>
      </c>
      <c r="AE88" s="11"/>
      <c r="AF88" s="89" t="s">
        <v>225</v>
      </c>
      <c r="AG88" t="s">
        <v>211</v>
      </c>
      <c r="AH88" t="s">
        <v>221</v>
      </c>
      <c r="AI88" t="s">
        <v>221</v>
      </c>
      <c r="AJ88" t="s">
        <v>221</v>
      </c>
      <c r="AK88">
        <v>0.59000000000000008</v>
      </c>
      <c r="AL88" t="s">
        <v>281</v>
      </c>
      <c r="AM88" t="s">
        <v>328</v>
      </c>
      <c r="AN88" t="s">
        <v>215</v>
      </c>
      <c r="AO88" t="s">
        <v>234</v>
      </c>
      <c r="AP88" t="s">
        <v>217</v>
      </c>
      <c r="AQ88" t="s">
        <v>227</v>
      </c>
      <c r="AR88" t="s">
        <v>214</v>
      </c>
      <c r="AS88" t="s">
        <v>214</v>
      </c>
      <c r="AT88" t="s">
        <v>248</v>
      </c>
      <c r="AU88" t="s">
        <v>211</v>
      </c>
      <c r="AV88">
        <v>396</v>
      </c>
      <c r="AW88">
        <v>443</v>
      </c>
      <c r="AX88">
        <v>464</v>
      </c>
      <c r="AY88">
        <f t="shared" si="3"/>
        <v>434.33333333333331</v>
      </c>
      <c r="AZ88" t="s">
        <v>211</v>
      </c>
      <c r="BA88">
        <v>2.74</v>
      </c>
      <c r="BB88">
        <v>4.5</v>
      </c>
      <c r="BC88" t="s">
        <v>221</v>
      </c>
      <c r="BD88" t="s">
        <v>221</v>
      </c>
      <c r="BE88" t="s">
        <v>221</v>
      </c>
      <c r="BF88" t="s">
        <v>221</v>
      </c>
      <c r="BG88" t="s">
        <v>221</v>
      </c>
      <c r="BH88">
        <v>1.78</v>
      </c>
      <c r="BI88">
        <v>0.6</v>
      </c>
      <c r="BJ88">
        <v>0.72</v>
      </c>
      <c r="BK88" t="s">
        <v>221</v>
      </c>
      <c r="BL88">
        <v>1</v>
      </c>
      <c r="BM88">
        <v>2</v>
      </c>
      <c r="BN88">
        <v>1</v>
      </c>
      <c r="BO88">
        <v>3</v>
      </c>
      <c r="BP88">
        <v>2</v>
      </c>
      <c r="BQ88">
        <v>3</v>
      </c>
      <c r="BR88">
        <v>6</v>
      </c>
      <c r="BS88">
        <v>2</v>
      </c>
      <c r="BT88">
        <v>3</v>
      </c>
      <c r="BU88">
        <v>6</v>
      </c>
      <c r="BV88">
        <v>6</v>
      </c>
      <c r="BW88" t="s">
        <v>223</v>
      </c>
      <c r="BX88">
        <v>3</v>
      </c>
      <c r="BY88">
        <v>2</v>
      </c>
      <c r="BZ88" t="s">
        <v>223</v>
      </c>
      <c r="CA88">
        <v>6</v>
      </c>
      <c r="CB88">
        <v>4</v>
      </c>
      <c r="CC88">
        <v>6</v>
      </c>
      <c r="CD88">
        <v>2</v>
      </c>
      <c r="CE88">
        <v>1</v>
      </c>
      <c r="CF88">
        <v>6</v>
      </c>
      <c r="CG88">
        <v>1</v>
      </c>
      <c r="CH88">
        <v>2</v>
      </c>
      <c r="CI88">
        <v>5</v>
      </c>
      <c r="CJ88">
        <v>4</v>
      </c>
      <c r="CK88">
        <v>2</v>
      </c>
      <c r="CL88">
        <v>4</v>
      </c>
      <c r="CM88">
        <v>4</v>
      </c>
      <c r="CN88" t="s">
        <v>223</v>
      </c>
      <c r="CO88">
        <v>2</v>
      </c>
      <c r="CP88">
        <v>3</v>
      </c>
      <c r="CQ88">
        <v>6</v>
      </c>
      <c r="CR88">
        <v>2</v>
      </c>
      <c r="CS88">
        <v>3</v>
      </c>
      <c r="CT88">
        <v>2</v>
      </c>
      <c r="CU88">
        <v>4</v>
      </c>
      <c r="CV88">
        <v>1</v>
      </c>
      <c r="CW88">
        <v>3</v>
      </c>
      <c r="CX88" t="s">
        <v>15</v>
      </c>
      <c r="CY88">
        <v>3</v>
      </c>
      <c r="CZ88">
        <v>2</v>
      </c>
      <c r="DA88">
        <v>3</v>
      </c>
      <c r="DB88">
        <v>1</v>
      </c>
      <c r="DC88">
        <v>4</v>
      </c>
      <c r="DD88">
        <v>3</v>
      </c>
      <c r="DE88">
        <v>4</v>
      </c>
      <c r="DF88">
        <v>5</v>
      </c>
      <c r="DG88">
        <v>1</v>
      </c>
      <c r="DH88" t="s">
        <v>223</v>
      </c>
      <c r="DI88" t="s">
        <v>223</v>
      </c>
      <c r="DJ88"/>
      <c r="DK88"/>
      <c r="DL88"/>
      <c r="DM88"/>
      <c r="DN88"/>
      <c r="DO88"/>
      <c r="DP88"/>
      <c r="DQ88"/>
      <c r="DR88"/>
      <c r="DS88"/>
    </row>
    <row r="89" spans="1:123" s="12" customFormat="1">
      <c r="A89" s="64">
        <v>43692.630104166667</v>
      </c>
      <c r="B89" s="65" t="s">
        <v>112</v>
      </c>
      <c r="C89" s="10">
        <f t="shared" si="4"/>
        <v>88</v>
      </c>
      <c r="D89" s="73" t="s">
        <v>139</v>
      </c>
      <c r="E89" s="65" t="s">
        <v>119</v>
      </c>
      <c r="F89" s="72">
        <v>14</v>
      </c>
      <c r="G89" s="65">
        <v>23.4</v>
      </c>
      <c r="H89" s="65">
        <v>59.8</v>
      </c>
      <c r="I89" s="65">
        <v>627</v>
      </c>
      <c r="J89" s="65">
        <v>0.8</v>
      </c>
      <c r="K89" s="65">
        <v>91</v>
      </c>
      <c r="L89" s="66">
        <v>0.78999999999999992</v>
      </c>
      <c r="M89" s="81">
        <v>23.426500000000001</v>
      </c>
      <c r="N89" s="65">
        <v>0.01</v>
      </c>
      <c r="O89" s="65">
        <v>50.8</v>
      </c>
      <c r="P89" s="66">
        <v>1.34</v>
      </c>
      <c r="Q89" s="11"/>
      <c r="R89" s="66">
        <v>91</v>
      </c>
      <c r="S89" s="66">
        <v>101</v>
      </c>
      <c r="T89" s="66">
        <v>102</v>
      </c>
      <c r="U89" s="11"/>
      <c r="V89" s="24">
        <f t="shared" si="5"/>
        <v>96</v>
      </c>
      <c r="W89" s="11"/>
      <c r="X89" s="66">
        <v>0</v>
      </c>
      <c r="Y89" s="66">
        <v>0</v>
      </c>
      <c r="Z89" s="66">
        <v>5.0999999999999996</v>
      </c>
      <c r="AA89" s="66">
        <v>5.0999999999999996</v>
      </c>
      <c r="AB89" s="66">
        <v>5.0999999999999996</v>
      </c>
      <c r="AC89" s="66"/>
      <c r="AD89" s="66">
        <v>4</v>
      </c>
      <c r="AE89" s="11"/>
      <c r="AF89" s="89" t="s">
        <v>225</v>
      </c>
      <c r="AG89" t="s">
        <v>211</v>
      </c>
      <c r="AH89" t="s">
        <v>221</v>
      </c>
      <c r="AI89" t="s">
        <v>221</v>
      </c>
      <c r="AJ89" t="s">
        <v>221</v>
      </c>
      <c r="AK89">
        <v>0.78999999999999992</v>
      </c>
      <c r="AL89" t="s">
        <v>281</v>
      </c>
      <c r="AM89" t="s">
        <v>328</v>
      </c>
      <c r="AN89" t="s">
        <v>215</v>
      </c>
      <c r="AO89" t="s">
        <v>234</v>
      </c>
      <c r="AP89" t="s">
        <v>217</v>
      </c>
      <c r="AQ89" t="s">
        <v>227</v>
      </c>
      <c r="AR89" t="s">
        <v>214</v>
      </c>
      <c r="AS89" t="s">
        <v>214</v>
      </c>
      <c r="AT89" t="s">
        <v>248</v>
      </c>
      <c r="AU89" t="s">
        <v>211</v>
      </c>
      <c r="AV89">
        <v>91</v>
      </c>
      <c r="AW89">
        <v>101</v>
      </c>
      <c r="AX89">
        <v>102</v>
      </c>
      <c r="AY89">
        <f t="shared" si="3"/>
        <v>98</v>
      </c>
      <c r="AZ89" t="s">
        <v>211</v>
      </c>
      <c r="BA89">
        <v>2.74</v>
      </c>
      <c r="BB89" t="s">
        <v>221</v>
      </c>
      <c r="BC89" t="s">
        <v>221</v>
      </c>
      <c r="BD89" t="s">
        <v>221</v>
      </c>
      <c r="BE89" t="s">
        <v>221</v>
      </c>
      <c r="BF89" t="s">
        <v>221</v>
      </c>
      <c r="BG89" t="s">
        <v>221</v>
      </c>
      <c r="BH89">
        <v>1.8</v>
      </c>
      <c r="BI89">
        <v>0.59</v>
      </c>
      <c r="BJ89">
        <v>0.83</v>
      </c>
      <c r="BK89">
        <v>1.34</v>
      </c>
      <c r="BL89">
        <v>2</v>
      </c>
      <c r="BM89">
        <v>2</v>
      </c>
      <c r="BN89">
        <v>4</v>
      </c>
      <c r="BO89">
        <v>3</v>
      </c>
      <c r="BP89">
        <v>3</v>
      </c>
      <c r="BQ89">
        <v>4</v>
      </c>
      <c r="BR89">
        <v>4</v>
      </c>
      <c r="BS89">
        <v>2</v>
      </c>
      <c r="BT89">
        <v>3</v>
      </c>
      <c r="BU89">
        <v>6</v>
      </c>
      <c r="BV89">
        <v>5</v>
      </c>
      <c r="BW89">
        <v>5</v>
      </c>
      <c r="BX89">
        <v>3</v>
      </c>
      <c r="BY89">
        <v>2</v>
      </c>
      <c r="BZ89">
        <v>2</v>
      </c>
      <c r="CA89">
        <v>3</v>
      </c>
      <c r="CB89">
        <v>4</v>
      </c>
      <c r="CC89">
        <v>3</v>
      </c>
      <c r="CD89">
        <v>1</v>
      </c>
      <c r="CE89">
        <v>1</v>
      </c>
      <c r="CF89">
        <v>4</v>
      </c>
      <c r="CG89">
        <v>1</v>
      </c>
      <c r="CH89">
        <v>2</v>
      </c>
      <c r="CI89">
        <v>4</v>
      </c>
      <c r="CJ89">
        <v>3</v>
      </c>
      <c r="CK89">
        <v>3</v>
      </c>
      <c r="CL89">
        <v>4</v>
      </c>
      <c r="CM89">
        <v>1</v>
      </c>
      <c r="CN89" t="s">
        <v>223</v>
      </c>
      <c r="CO89">
        <v>3</v>
      </c>
      <c r="CP89">
        <v>3</v>
      </c>
      <c r="CQ89">
        <v>3</v>
      </c>
      <c r="CR89">
        <v>2</v>
      </c>
      <c r="CS89">
        <v>3</v>
      </c>
      <c r="CT89">
        <v>3</v>
      </c>
      <c r="CU89">
        <v>4</v>
      </c>
      <c r="CV89">
        <v>3</v>
      </c>
      <c r="CW89">
        <v>3</v>
      </c>
      <c r="CX89" t="s">
        <v>15</v>
      </c>
      <c r="CY89">
        <v>4</v>
      </c>
      <c r="CZ89">
        <v>2</v>
      </c>
      <c r="DA89">
        <v>3</v>
      </c>
      <c r="DB89">
        <v>1</v>
      </c>
      <c r="DC89">
        <v>4</v>
      </c>
      <c r="DD89">
        <v>3</v>
      </c>
      <c r="DE89">
        <v>4</v>
      </c>
      <c r="DF89">
        <v>4</v>
      </c>
      <c r="DG89">
        <v>5</v>
      </c>
      <c r="DH89" t="s">
        <v>223</v>
      </c>
      <c r="DI89" t="s">
        <v>223</v>
      </c>
      <c r="DJ89"/>
      <c r="DK89"/>
      <c r="DL89"/>
      <c r="DM89"/>
      <c r="DN89"/>
      <c r="DO89"/>
      <c r="DP89"/>
      <c r="DQ89"/>
      <c r="DR89"/>
      <c r="DS89"/>
    </row>
    <row r="90" spans="1:123" s="12" customFormat="1">
      <c r="A90" s="64">
        <v>43692.638194444444</v>
      </c>
      <c r="B90" s="65" t="s">
        <v>113</v>
      </c>
      <c r="C90" s="10">
        <f t="shared" si="4"/>
        <v>89</v>
      </c>
      <c r="D90" s="73" t="s">
        <v>139</v>
      </c>
      <c r="E90" s="65" t="s">
        <v>119</v>
      </c>
      <c r="F90" s="72">
        <v>14</v>
      </c>
      <c r="G90" s="65">
        <v>23</v>
      </c>
      <c r="H90" s="65">
        <v>59.7</v>
      </c>
      <c r="I90" s="65">
        <v>661</v>
      </c>
      <c r="J90" s="65">
        <v>0.8</v>
      </c>
      <c r="K90" s="65">
        <v>91</v>
      </c>
      <c r="L90" s="66">
        <v>0.45000000000000007</v>
      </c>
      <c r="M90" s="81">
        <v>22.8948</v>
      </c>
      <c r="N90" s="65">
        <v>0.02</v>
      </c>
      <c r="O90" s="65">
        <v>53.2</v>
      </c>
      <c r="P90" s="66">
        <v>1.34</v>
      </c>
      <c r="Q90" s="11"/>
      <c r="R90" s="66">
        <v>167</v>
      </c>
      <c r="S90" s="66">
        <v>232</v>
      </c>
      <c r="T90" s="66">
        <v>134</v>
      </c>
      <c r="U90" s="11"/>
      <c r="V90" s="24">
        <f t="shared" si="5"/>
        <v>199.5</v>
      </c>
      <c r="W90" s="11"/>
      <c r="X90" s="66">
        <v>1.2</v>
      </c>
      <c r="Y90" s="66">
        <v>0.2</v>
      </c>
      <c r="Z90" s="66">
        <v>5.7</v>
      </c>
      <c r="AA90" s="66">
        <v>5.9</v>
      </c>
      <c r="AB90" s="66">
        <v>7.1000000000000005</v>
      </c>
      <c r="AC90" s="66"/>
      <c r="AD90" s="66">
        <v>5</v>
      </c>
      <c r="AE90" s="11"/>
      <c r="AF90" s="89" t="s">
        <v>225</v>
      </c>
      <c r="AG90" t="s">
        <v>211</v>
      </c>
      <c r="AH90" t="s">
        <v>221</v>
      </c>
      <c r="AI90" t="s">
        <v>221</v>
      </c>
      <c r="AJ90" t="s">
        <v>221</v>
      </c>
      <c r="AK90">
        <v>0.45000000000000007</v>
      </c>
      <c r="AL90" t="s">
        <v>281</v>
      </c>
      <c r="AM90" t="s">
        <v>328</v>
      </c>
      <c r="AN90" t="s">
        <v>215</v>
      </c>
      <c r="AO90" t="s">
        <v>234</v>
      </c>
      <c r="AP90" t="s">
        <v>217</v>
      </c>
      <c r="AQ90" t="s">
        <v>227</v>
      </c>
      <c r="AR90" t="s">
        <v>214</v>
      </c>
      <c r="AS90" t="s">
        <v>214</v>
      </c>
      <c r="AT90" t="s">
        <v>248</v>
      </c>
      <c r="AU90" t="s">
        <v>211</v>
      </c>
      <c r="AV90">
        <v>167</v>
      </c>
      <c r="AW90">
        <v>232</v>
      </c>
      <c r="AX90">
        <v>134</v>
      </c>
      <c r="AY90">
        <f t="shared" si="3"/>
        <v>177.66666666666666</v>
      </c>
      <c r="AZ90" t="s">
        <v>211</v>
      </c>
      <c r="BA90">
        <v>2.74</v>
      </c>
      <c r="BB90">
        <v>1.5</v>
      </c>
      <c r="BC90" t="s">
        <v>221</v>
      </c>
      <c r="BD90" t="s">
        <v>221</v>
      </c>
      <c r="BE90" t="s">
        <v>221</v>
      </c>
      <c r="BF90" t="s">
        <v>221</v>
      </c>
      <c r="BG90" t="s">
        <v>221</v>
      </c>
      <c r="BH90">
        <v>1.8</v>
      </c>
      <c r="BI90">
        <v>0.59</v>
      </c>
      <c r="BJ90">
        <v>0.83</v>
      </c>
      <c r="BK90">
        <v>1.34</v>
      </c>
      <c r="BL90">
        <v>2</v>
      </c>
      <c r="BM90">
        <v>3</v>
      </c>
      <c r="BN90">
        <v>3</v>
      </c>
      <c r="BO90">
        <v>2</v>
      </c>
      <c r="BP90">
        <v>2</v>
      </c>
      <c r="BQ90">
        <v>4</v>
      </c>
      <c r="BR90">
        <v>5</v>
      </c>
      <c r="BS90">
        <v>2</v>
      </c>
      <c r="BT90">
        <v>3</v>
      </c>
      <c r="BU90">
        <v>5</v>
      </c>
      <c r="BV90">
        <v>5</v>
      </c>
      <c r="BW90">
        <v>3</v>
      </c>
      <c r="BX90">
        <v>2</v>
      </c>
      <c r="BY90">
        <v>1</v>
      </c>
      <c r="BZ90">
        <v>1</v>
      </c>
      <c r="CA90">
        <v>5</v>
      </c>
      <c r="CB90">
        <v>3</v>
      </c>
      <c r="CC90">
        <v>3</v>
      </c>
      <c r="CD90">
        <v>2</v>
      </c>
      <c r="CE90">
        <v>1</v>
      </c>
      <c r="CF90">
        <v>3</v>
      </c>
      <c r="CG90">
        <v>1</v>
      </c>
      <c r="CH90">
        <v>1</v>
      </c>
      <c r="CI90">
        <v>3</v>
      </c>
      <c r="CJ90">
        <v>2</v>
      </c>
      <c r="CK90">
        <v>3</v>
      </c>
      <c r="CL90">
        <v>2</v>
      </c>
      <c r="CM90">
        <v>1</v>
      </c>
      <c r="CN90" t="s">
        <v>223</v>
      </c>
      <c r="CO90">
        <v>3</v>
      </c>
      <c r="CP90">
        <v>2</v>
      </c>
      <c r="CQ90">
        <v>6</v>
      </c>
      <c r="CR90">
        <v>2</v>
      </c>
      <c r="CS90">
        <v>3</v>
      </c>
      <c r="CT90">
        <v>1</v>
      </c>
      <c r="CU90">
        <v>5</v>
      </c>
      <c r="CV90">
        <v>2</v>
      </c>
      <c r="CW90">
        <v>3</v>
      </c>
      <c r="CX90" t="s">
        <v>253</v>
      </c>
      <c r="CY90">
        <v>4</v>
      </c>
      <c r="CZ90">
        <v>2</v>
      </c>
      <c r="DA90">
        <v>3</v>
      </c>
      <c r="DB90">
        <v>2</v>
      </c>
      <c r="DC90">
        <v>4</v>
      </c>
      <c r="DD90">
        <v>4</v>
      </c>
      <c r="DE90">
        <v>3</v>
      </c>
      <c r="DF90">
        <v>3</v>
      </c>
      <c r="DG90">
        <v>2</v>
      </c>
      <c r="DH90" t="s">
        <v>223</v>
      </c>
      <c r="DI90" t="s">
        <v>223</v>
      </c>
      <c r="DJ90"/>
      <c r="DK90"/>
      <c r="DL90"/>
      <c r="DM90"/>
      <c r="DN90"/>
      <c r="DO90"/>
      <c r="DP90"/>
      <c r="DQ90"/>
      <c r="DR90"/>
      <c r="DS90"/>
    </row>
    <row r="91" spans="1:123" s="12" customFormat="1">
      <c r="A91" s="64">
        <v>43692.643194444441</v>
      </c>
      <c r="B91" s="65" t="s">
        <v>114</v>
      </c>
      <c r="C91" s="10">
        <f t="shared" si="4"/>
        <v>90</v>
      </c>
      <c r="D91" s="73" t="s">
        <v>139</v>
      </c>
      <c r="E91" s="65" t="s">
        <v>119</v>
      </c>
      <c r="F91" s="72">
        <v>14</v>
      </c>
      <c r="G91" s="65">
        <v>23</v>
      </c>
      <c r="H91" s="65">
        <v>58.8</v>
      </c>
      <c r="I91" s="65">
        <v>715</v>
      </c>
      <c r="J91" s="65">
        <v>0.8</v>
      </c>
      <c r="K91" s="65">
        <v>90</v>
      </c>
      <c r="L91" s="66">
        <v>0.44000000000000006</v>
      </c>
      <c r="M91" s="81">
        <v>23.295000000000002</v>
      </c>
      <c r="N91" s="65">
        <v>0.02</v>
      </c>
      <c r="O91" s="65">
        <v>49.2</v>
      </c>
      <c r="P91" s="66">
        <v>0</v>
      </c>
      <c r="Q91" s="11"/>
      <c r="R91" s="66">
        <v>314</v>
      </c>
      <c r="S91" s="66">
        <v>319</v>
      </c>
      <c r="T91" s="66">
        <v>507</v>
      </c>
      <c r="U91" s="11"/>
      <c r="V91" s="24">
        <f t="shared" si="5"/>
        <v>316.5</v>
      </c>
      <c r="W91" s="11"/>
      <c r="X91" s="66">
        <v>9.3000000000000007</v>
      </c>
      <c r="Y91" s="66">
        <v>0.1</v>
      </c>
      <c r="Z91" s="66">
        <v>5.4</v>
      </c>
      <c r="AA91" s="66">
        <v>5.5</v>
      </c>
      <c r="AB91" s="66">
        <v>14.8</v>
      </c>
      <c r="AC91" s="66"/>
      <c r="AD91" s="66">
        <v>3</v>
      </c>
      <c r="AE91" s="11"/>
      <c r="AF91" s="89" t="s">
        <v>251</v>
      </c>
      <c r="AG91" t="s">
        <v>211</v>
      </c>
      <c r="AH91" t="s">
        <v>212</v>
      </c>
      <c r="AI91" t="s">
        <v>212</v>
      </c>
      <c r="AJ91" t="s">
        <v>334</v>
      </c>
      <c r="AK91">
        <v>0.44000000000000006</v>
      </c>
      <c r="AL91" t="s">
        <v>281</v>
      </c>
      <c r="AM91" t="s">
        <v>328</v>
      </c>
      <c r="AN91" t="s">
        <v>215</v>
      </c>
      <c r="AO91" t="s">
        <v>234</v>
      </c>
      <c r="AP91" t="s">
        <v>217</v>
      </c>
      <c r="AQ91" t="s">
        <v>227</v>
      </c>
      <c r="AR91" t="s">
        <v>214</v>
      </c>
      <c r="AS91" t="s">
        <v>214</v>
      </c>
      <c r="AT91" t="s">
        <v>221</v>
      </c>
      <c r="AU91" t="s">
        <v>211</v>
      </c>
      <c r="AV91">
        <v>31400</v>
      </c>
      <c r="AW91">
        <v>31900</v>
      </c>
      <c r="AX91">
        <v>5070</v>
      </c>
      <c r="AY91">
        <f t="shared" si="3"/>
        <v>22790</v>
      </c>
      <c r="AZ91" t="s">
        <v>211</v>
      </c>
      <c r="BA91">
        <v>2.74</v>
      </c>
      <c r="BB91" t="s">
        <v>221</v>
      </c>
      <c r="BC91" t="s">
        <v>211</v>
      </c>
      <c r="BD91">
        <v>0.5</v>
      </c>
      <c r="BE91" t="s">
        <v>250</v>
      </c>
      <c r="BF91" t="s">
        <v>221</v>
      </c>
      <c r="BG91" t="s">
        <v>221</v>
      </c>
      <c r="BH91">
        <v>1.67</v>
      </c>
      <c r="BI91">
        <v>0.73</v>
      </c>
      <c r="BJ91">
        <v>0.72</v>
      </c>
      <c r="BK91" t="s">
        <v>221</v>
      </c>
      <c r="BL91">
        <v>2</v>
      </c>
      <c r="BM91">
        <v>2</v>
      </c>
      <c r="BN91">
        <v>3</v>
      </c>
      <c r="BO91">
        <v>2</v>
      </c>
      <c r="BP91">
        <v>2</v>
      </c>
      <c r="BQ91">
        <v>2</v>
      </c>
      <c r="BR91">
        <v>3</v>
      </c>
      <c r="BS91">
        <v>1</v>
      </c>
      <c r="BT91">
        <v>3</v>
      </c>
      <c r="BU91">
        <v>5</v>
      </c>
      <c r="BV91">
        <v>6</v>
      </c>
      <c r="BW91">
        <v>3</v>
      </c>
      <c r="BX91">
        <v>3</v>
      </c>
      <c r="BY91">
        <v>2</v>
      </c>
      <c r="BZ91">
        <v>1</v>
      </c>
      <c r="CA91">
        <v>6</v>
      </c>
      <c r="CB91">
        <v>6</v>
      </c>
      <c r="CC91">
        <v>6</v>
      </c>
      <c r="CD91">
        <v>2</v>
      </c>
      <c r="CE91">
        <v>1</v>
      </c>
      <c r="CF91">
        <v>6</v>
      </c>
      <c r="CG91">
        <v>1</v>
      </c>
      <c r="CH91">
        <v>3</v>
      </c>
      <c r="CI91">
        <v>6</v>
      </c>
      <c r="CJ91">
        <v>3</v>
      </c>
      <c r="CK91">
        <v>3</v>
      </c>
      <c r="CL91">
        <v>3</v>
      </c>
      <c r="CM91">
        <v>1</v>
      </c>
      <c r="CN91" t="s">
        <v>223</v>
      </c>
      <c r="CO91">
        <v>1</v>
      </c>
      <c r="CP91">
        <v>7</v>
      </c>
      <c r="CQ91">
        <v>6</v>
      </c>
      <c r="CR91">
        <v>1</v>
      </c>
      <c r="CS91">
        <v>1</v>
      </c>
      <c r="CT91">
        <v>7</v>
      </c>
      <c r="CU91">
        <v>6</v>
      </c>
      <c r="CV91">
        <v>2</v>
      </c>
      <c r="CW91">
        <v>1</v>
      </c>
      <c r="CX91" t="s">
        <v>257</v>
      </c>
      <c r="CY91">
        <v>6</v>
      </c>
      <c r="CZ91">
        <v>2</v>
      </c>
      <c r="DA91">
        <v>3</v>
      </c>
      <c r="DB91">
        <v>1</v>
      </c>
      <c r="DC91">
        <v>6</v>
      </c>
      <c r="DD91">
        <v>3</v>
      </c>
      <c r="DE91">
        <v>4</v>
      </c>
      <c r="DF91">
        <v>5</v>
      </c>
      <c r="DG91">
        <v>2</v>
      </c>
      <c r="DH91" t="s">
        <v>223</v>
      </c>
      <c r="DI91" t="s">
        <v>223</v>
      </c>
      <c r="DJ91"/>
      <c r="DK91"/>
      <c r="DL91"/>
      <c r="DM91"/>
      <c r="DN91"/>
      <c r="DO91"/>
      <c r="DP91"/>
      <c r="DQ91"/>
      <c r="DR91"/>
      <c r="DS91"/>
    </row>
    <row r="92" spans="1:123" s="12" customFormat="1">
      <c r="A92" s="64">
        <v>43692.655289351853</v>
      </c>
      <c r="B92" s="67" t="s">
        <v>115</v>
      </c>
      <c r="C92" s="10">
        <f t="shared" si="4"/>
        <v>91</v>
      </c>
      <c r="D92" s="73" t="s">
        <v>139</v>
      </c>
      <c r="E92" s="67" t="s">
        <v>119</v>
      </c>
      <c r="F92" s="72">
        <v>14</v>
      </c>
      <c r="G92" s="67">
        <v>22.9</v>
      </c>
      <c r="H92" s="67">
        <v>58.9</v>
      </c>
      <c r="I92" s="67">
        <v>728</v>
      </c>
      <c r="J92" s="67">
        <v>0.8</v>
      </c>
      <c r="K92" s="67">
        <v>87</v>
      </c>
      <c r="L92" s="68">
        <v>0.80999999999999994</v>
      </c>
      <c r="M92" s="82">
        <v>22.8019</v>
      </c>
      <c r="N92" s="67">
        <v>0.05</v>
      </c>
      <c r="O92" s="67">
        <v>47.3</v>
      </c>
      <c r="P92" s="68">
        <v>0</v>
      </c>
      <c r="Q92" s="11"/>
      <c r="R92" s="68">
        <v>328</v>
      </c>
      <c r="S92" s="68">
        <v>308</v>
      </c>
      <c r="T92" s="68">
        <v>383</v>
      </c>
      <c r="U92" s="11"/>
      <c r="V92" s="24">
        <f t="shared" si="5"/>
        <v>318</v>
      </c>
      <c r="W92" s="11"/>
      <c r="X92" s="68">
        <v>7.9</v>
      </c>
      <c r="Y92" s="68">
        <v>0.1</v>
      </c>
      <c r="Z92" s="68">
        <v>2.5</v>
      </c>
      <c r="AA92" s="68">
        <v>2.6</v>
      </c>
      <c r="AB92" s="68">
        <v>10.5</v>
      </c>
      <c r="AC92" s="68"/>
      <c r="AD92" s="68">
        <v>5</v>
      </c>
      <c r="AE92" s="11"/>
      <c r="AF92" s="89" t="s">
        <v>251</v>
      </c>
      <c r="AG92" t="s">
        <v>211</v>
      </c>
      <c r="AH92" t="s">
        <v>212</v>
      </c>
      <c r="AI92" t="s">
        <v>212</v>
      </c>
      <c r="AJ92" t="s">
        <v>211</v>
      </c>
      <c r="AK92">
        <v>0.80999999999999994</v>
      </c>
      <c r="AL92" t="s">
        <v>281</v>
      </c>
      <c r="AM92" t="s">
        <v>328</v>
      </c>
      <c r="AN92" t="s">
        <v>215</v>
      </c>
      <c r="AO92" t="s">
        <v>234</v>
      </c>
      <c r="AP92" t="s">
        <v>217</v>
      </c>
      <c r="AQ92" t="s">
        <v>227</v>
      </c>
      <c r="AR92" t="s">
        <v>214</v>
      </c>
      <c r="AS92" t="s">
        <v>214</v>
      </c>
      <c r="AT92" t="s">
        <v>221</v>
      </c>
      <c r="AU92" t="s">
        <v>212</v>
      </c>
      <c r="AV92">
        <v>32800</v>
      </c>
      <c r="AW92">
        <v>3080</v>
      </c>
      <c r="AX92">
        <v>38300</v>
      </c>
      <c r="AY92">
        <f t="shared" si="3"/>
        <v>24726.666666666668</v>
      </c>
      <c r="AZ92" t="s">
        <v>211</v>
      </c>
      <c r="BA92">
        <v>2.74</v>
      </c>
      <c r="BB92">
        <v>0.5</v>
      </c>
      <c r="BC92" t="s">
        <v>211</v>
      </c>
      <c r="BD92">
        <v>0.5</v>
      </c>
      <c r="BE92" t="s">
        <v>250</v>
      </c>
      <c r="BF92" t="s">
        <v>221</v>
      </c>
      <c r="BG92" t="s">
        <v>221</v>
      </c>
      <c r="BH92">
        <v>1.78</v>
      </c>
      <c r="BI92">
        <v>0.73</v>
      </c>
      <c r="BJ92">
        <v>0.74</v>
      </c>
      <c r="BK92" t="s">
        <v>221</v>
      </c>
      <c r="BL92">
        <v>2</v>
      </c>
      <c r="BM92">
        <v>3</v>
      </c>
      <c r="BN92">
        <v>3</v>
      </c>
      <c r="BO92">
        <v>2</v>
      </c>
      <c r="BP92">
        <v>1</v>
      </c>
      <c r="BQ92">
        <v>3</v>
      </c>
      <c r="BR92">
        <v>5</v>
      </c>
      <c r="BS92">
        <v>1</v>
      </c>
      <c r="BT92">
        <v>3</v>
      </c>
      <c r="BU92">
        <v>2</v>
      </c>
      <c r="BV92">
        <v>2</v>
      </c>
      <c r="BW92">
        <v>2</v>
      </c>
      <c r="BX92">
        <v>1</v>
      </c>
      <c r="BY92">
        <v>1</v>
      </c>
      <c r="BZ92">
        <v>1</v>
      </c>
      <c r="CA92">
        <v>3</v>
      </c>
      <c r="CB92">
        <v>3</v>
      </c>
      <c r="CC92">
        <v>3</v>
      </c>
      <c r="CD92">
        <v>1</v>
      </c>
      <c r="CE92">
        <v>1</v>
      </c>
      <c r="CF92">
        <v>6</v>
      </c>
      <c r="CG92">
        <v>1</v>
      </c>
      <c r="CH92">
        <v>2</v>
      </c>
      <c r="CI92">
        <v>6</v>
      </c>
      <c r="CJ92">
        <v>5</v>
      </c>
      <c r="CK92">
        <v>5</v>
      </c>
      <c r="CL92">
        <v>3</v>
      </c>
      <c r="CM92">
        <v>1</v>
      </c>
      <c r="CN92" t="s">
        <v>223</v>
      </c>
      <c r="CO92">
        <v>1</v>
      </c>
      <c r="CP92">
        <v>7</v>
      </c>
      <c r="CQ92">
        <v>5</v>
      </c>
      <c r="CR92">
        <v>1</v>
      </c>
      <c r="CS92">
        <v>1</v>
      </c>
      <c r="CT92">
        <v>7</v>
      </c>
      <c r="CU92">
        <v>1</v>
      </c>
      <c r="CV92">
        <v>1</v>
      </c>
      <c r="CW92">
        <v>2</v>
      </c>
      <c r="CX92" t="s">
        <v>237</v>
      </c>
      <c r="CY92">
        <v>4</v>
      </c>
      <c r="CZ92">
        <v>2</v>
      </c>
      <c r="DA92">
        <v>3</v>
      </c>
      <c r="DB92">
        <v>2</v>
      </c>
      <c r="DC92">
        <v>5</v>
      </c>
      <c r="DD92">
        <v>3</v>
      </c>
      <c r="DE92">
        <v>5</v>
      </c>
      <c r="DF92">
        <v>5</v>
      </c>
      <c r="DG92">
        <v>5</v>
      </c>
      <c r="DH92" t="s">
        <v>342</v>
      </c>
      <c r="DI92" t="s">
        <v>223</v>
      </c>
      <c r="DJ92"/>
      <c r="DK92"/>
      <c r="DL92"/>
      <c r="DM92"/>
      <c r="DN92"/>
      <c r="DO92"/>
      <c r="DP92"/>
      <c r="DQ92"/>
      <c r="DR92"/>
      <c r="DS92"/>
    </row>
    <row r="93" spans="1:123" s="12" customFormat="1">
      <c r="A93" s="64">
        <v>43692.658101851855</v>
      </c>
      <c r="B93" s="67" t="s">
        <v>116</v>
      </c>
      <c r="C93" s="10">
        <f t="shared" si="4"/>
        <v>92</v>
      </c>
      <c r="D93" s="73" t="s">
        <v>139</v>
      </c>
      <c r="E93" s="67" t="s">
        <v>119</v>
      </c>
      <c r="F93" s="72">
        <v>14</v>
      </c>
      <c r="G93" s="67">
        <v>22.6</v>
      </c>
      <c r="H93" s="67">
        <v>58.6</v>
      </c>
      <c r="I93" s="67">
        <v>566</v>
      </c>
      <c r="J93" s="67">
        <v>0.9</v>
      </c>
      <c r="K93" s="67">
        <v>85</v>
      </c>
      <c r="L93" s="68">
        <v>0.51</v>
      </c>
      <c r="M93" s="82">
        <v>22.839400000000001</v>
      </c>
      <c r="N93" s="67">
        <v>0.12</v>
      </c>
      <c r="O93" s="67">
        <v>45.1</v>
      </c>
      <c r="P93" s="68">
        <v>0</v>
      </c>
      <c r="Q93" s="11"/>
      <c r="R93" s="68">
        <v>102</v>
      </c>
      <c r="S93" s="68">
        <v>151</v>
      </c>
      <c r="T93" s="68">
        <v>106</v>
      </c>
      <c r="U93" s="11"/>
      <c r="V93" s="24">
        <f t="shared" si="5"/>
        <v>126.5</v>
      </c>
      <c r="W93" s="11"/>
      <c r="X93" s="68">
        <v>11.7</v>
      </c>
      <c r="Y93" s="68">
        <v>0.2</v>
      </c>
      <c r="Z93" s="68">
        <v>4.0999999999999996</v>
      </c>
      <c r="AA93" s="68">
        <v>4.3</v>
      </c>
      <c r="AB93" s="68">
        <v>16</v>
      </c>
      <c r="AC93" s="68"/>
      <c r="AD93" s="68">
        <v>6</v>
      </c>
      <c r="AE93" s="11"/>
      <c r="AF93" s="89" t="s">
        <v>251</v>
      </c>
      <c r="AG93" t="s">
        <v>211</v>
      </c>
      <c r="AH93" t="s">
        <v>212</v>
      </c>
      <c r="AI93" t="s">
        <v>212</v>
      </c>
      <c r="AJ93" t="s">
        <v>212</v>
      </c>
      <c r="AK93">
        <v>0.51</v>
      </c>
      <c r="AL93" t="s">
        <v>281</v>
      </c>
      <c r="AM93" t="s">
        <v>328</v>
      </c>
      <c r="AN93" t="s">
        <v>215</v>
      </c>
      <c r="AO93" t="s">
        <v>234</v>
      </c>
      <c r="AP93" t="s">
        <v>217</v>
      </c>
      <c r="AQ93" t="s">
        <v>227</v>
      </c>
      <c r="AR93" t="s">
        <v>214</v>
      </c>
      <c r="AS93" t="s">
        <v>214</v>
      </c>
      <c r="AT93" t="s">
        <v>221</v>
      </c>
      <c r="AU93" t="s">
        <v>212</v>
      </c>
      <c r="AV93">
        <v>1020</v>
      </c>
      <c r="AW93">
        <v>1506</v>
      </c>
      <c r="AX93">
        <v>1058</v>
      </c>
      <c r="AY93">
        <f t="shared" si="3"/>
        <v>1194.6666666666667</v>
      </c>
      <c r="AZ93" t="s">
        <v>211</v>
      </c>
      <c r="BA93">
        <v>2.74</v>
      </c>
      <c r="BB93">
        <v>1</v>
      </c>
      <c r="BC93" t="s">
        <v>211</v>
      </c>
      <c r="BD93">
        <v>0.5</v>
      </c>
      <c r="BE93" t="s">
        <v>250</v>
      </c>
      <c r="BF93" t="s">
        <v>221</v>
      </c>
      <c r="BG93" t="s">
        <v>221</v>
      </c>
      <c r="BH93">
        <v>1.8</v>
      </c>
      <c r="BI93">
        <v>0.57999999999999996</v>
      </c>
      <c r="BJ93">
        <v>0.75</v>
      </c>
      <c r="BK93" t="s">
        <v>221</v>
      </c>
      <c r="BL93">
        <v>2</v>
      </c>
      <c r="BM93">
        <v>3</v>
      </c>
      <c r="BN93">
        <v>4</v>
      </c>
      <c r="BO93">
        <v>3</v>
      </c>
      <c r="BP93">
        <v>3</v>
      </c>
      <c r="BQ93">
        <v>4</v>
      </c>
      <c r="BR93">
        <v>6</v>
      </c>
      <c r="BS93">
        <v>2</v>
      </c>
      <c r="BT93">
        <v>1</v>
      </c>
      <c r="BU93">
        <v>6</v>
      </c>
      <c r="BV93">
        <v>6</v>
      </c>
      <c r="BW93">
        <v>6</v>
      </c>
      <c r="BX93">
        <v>4</v>
      </c>
      <c r="BY93">
        <v>2</v>
      </c>
      <c r="BZ93">
        <v>2</v>
      </c>
      <c r="CA93">
        <v>6</v>
      </c>
      <c r="CB93">
        <v>2</v>
      </c>
      <c r="CC93">
        <v>2</v>
      </c>
      <c r="CD93">
        <v>2</v>
      </c>
      <c r="CE93">
        <v>1</v>
      </c>
      <c r="CF93">
        <v>4</v>
      </c>
      <c r="CG93">
        <v>1</v>
      </c>
      <c r="CH93">
        <v>2</v>
      </c>
      <c r="CI93">
        <v>4</v>
      </c>
      <c r="CJ93">
        <v>2</v>
      </c>
      <c r="CK93">
        <v>4</v>
      </c>
      <c r="CL93">
        <v>2</v>
      </c>
      <c r="CM93">
        <v>1</v>
      </c>
      <c r="CN93" t="s">
        <v>223</v>
      </c>
      <c r="CO93">
        <v>1</v>
      </c>
      <c r="CP93">
        <v>7</v>
      </c>
      <c r="CQ93">
        <v>5</v>
      </c>
      <c r="CR93">
        <v>1</v>
      </c>
      <c r="CS93">
        <v>1</v>
      </c>
      <c r="CT93">
        <v>7</v>
      </c>
      <c r="CU93">
        <v>4</v>
      </c>
      <c r="CV93">
        <v>1</v>
      </c>
      <c r="CW93">
        <v>2</v>
      </c>
      <c r="CX93" t="s">
        <v>15</v>
      </c>
      <c r="CY93">
        <v>3</v>
      </c>
      <c r="CZ93">
        <v>2</v>
      </c>
      <c r="DA93">
        <v>3</v>
      </c>
      <c r="DB93">
        <v>1</v>
      </c>
      <c r="DC93">
        <v>4</v>
      </c>
      <c r="DD93">
        <v>3</v>
      </c>
      <c r="DE93">
        <v>6</v>
      </c>
      <c r="DF93">
        <v>6</v>
      </c>
      <c r="DG93">
        <v>4</v>
      </c>
      <c r="DH93" t="s">
        <v>343</v>
      </c>
      <c r="DI93"/>
      <c r="DJ93"/>
      <c r="DK93"/>
      <c r="DL93"/>
      <c r="DM93"/>
      <c r="DN93"/>
      <c r="DO93"/>
      <c r="DP93"/>
      <c r="DQ93"/>
      <c r="DR93"/>
      <c r="DS93"/>
    </row>
    <row r="94" spans="1:123" s="12" customFormat="1">
      <c r="A94" s="64">
        <v>43692.665682870371</v>
      </c>
      <c r="B94" s="67" t="s">
        <v>117</v>
      </c>
      <c r="C94" s="10">
        <f t="shared" si="4"/>
        <v>93</v>
      </c>
      <c r="D94" s="73" t="s">
        <v>139</v>
      </c>
      <c r="E94" s="67" t="s">
        <v>119</v>
      </c>
      <c r="F94" s="72">
        <v>14</v>
      </c>
      <c r="G94" s="67">
        <v>20.8</v>
      </c>
      <c r="H94" s="67">
        <v>64.599999999999994</v>
      </c>
      <c r="I94" s="67">
        <v>589</v>
      </c>
      <c r="J94" s="67">
        <v>0.7</v>
      </c>
      <c r="K94" s="67">
        <v>87</v>
      </c>
      <c r="L94" s="68">
        <v>0.51</v>
      </c>
      <c r="M94" s="82">
        <v>22.718499999999999</v>
      </c>
      <c r="N94" s="67">
        <v>0.03</v>
      </c>
      <c r="O94" s="67">
        <v>49.8</v>
      </c>
      <c r="P94" s="68">
        <v>0</v>
      </c>
      <c r="Q94" s="11"/>
      <c r="R94" s="68">
        <v>230</v>
      </c>
      <c r="S94" s="68">
        <v>258</v>
      </c>
      <c r="T94" s="68">
        <v>149</v>
      </c>
      <c r="U94" s="11"/>
      <c r="V94" s="24">
        <f t="shared" si="5"/>
        <v>244</v>
      </c>
      <c r="W94" s="11"/>
      <c r="X94" s="68">
        <v>2</v>
      </c>
      <c r="Y94" s="68">
        <v>0.2</v>
      </c>
      <c r="Z94" s="68">
        <v>3.4</v>
      </c>
      <c r="AA94" s="68">
        <v>3.6</v>
      </c>
      <c r="AB94" s="68">
        <v>5.6</v>
      </c>
      <c r="AC94" s="68"/>
      <c r="AD94" s="68">
        <v>3</v>
      </c>
      <c r="AE94" s="11"/>
      <c r="AF94" s="89" t="s">
        <v>251</v>
      </c>
      <c r="AG94" t="s">
        <v>211</v>
      </c>
      <c r="AH94" t="s">
        <v>212</v>
      </c>
      <c r="AI94" t="s">
        <v>212</v>
      </c>
      <c r="AJ94" t="s">
        <v>212</v>
      </c>
      <c r="AK94">
        <v>0.51</v>
      </c>
      <c r="AL94" t="s">
        <v>281</v>
      </c>
      <c r="AM94" t="s">
        <v>328</v>
      </c>
      <c r="AN94" t="s">
        <v>215</v>
      </c>
      <c r="AO94" t="s">
        <v>234</v>
      </c>
      <c r="AP94" t="s">
        <v>217</v>
      </c>
      <c r="AQ94" t="s">
        <v>227</v>
      </c>
      <c r="AR94" t="s">
        <v>214</v>
      </c>
      <c r="AS94" t="s">
        <v>214</v>
      </c>
      <c r="AT94" t="s">
        <v>221</v>
      </c>
      <c r="AU94" t="s">
        <v>212</v>
      </c>
      <c r="AV94">
        <v>230</v>
      </c>
      <c r="AW94">
        <v>258</v>
      </c>
      <c r="AX94">
        <v>149</v>
      </c>
      <c r="AY94">
        <f t="shared" si="3"/>
        <v>212.33333333333334</v>
      </c>
      <c r="AZ94" t="s">
        <v>211</v>
      </c>
      <c r="BA94">
        <v>2.74</v>
      </c>
      <c r="BB94">
        <v>0.7</v>
      </c>
      <c r="BC94" t="s">
        <v>211</v>
      </c>
      <c r="BD94">
        <v>3</v>
      </c>
      <c r="BE94" t="s">
        <v>250</v>
      </c>
      <c r="BF94" t="s">
        <v>221</v>
      </c>
      <c r="BG94" t="s">
        <v>221</v>
      </c>
      <c r="BH94">
        <v>1.82</v>
      </c>
      <c r="BI94">
        <v>0.57999999999999996</v>
      </c>
      <c r="BJ94">
        <v>0.73</v>
      </c>
      <c r="BK94" t="s">
        <v>221</v>
      </c>
      <c r="BL94">
        <v>2</v>
      </c>
      <c r="BM94">
        <v>3</v>
      </c>
      <c r="BN94">
        <v>4</v>
      </c>
      <c r="BO94">
        <v>2</v>
      </c>
      <c r="BP94">
        <v>2</v>
      </c>
      <c r="BQ94">
        <v>3</v>
      </c>
      <c r="BR94">
        <v>3</v>
      </c>
      <c r="BS94">
        <v>1</v>
      </c>
      <c r="BT94">
        <v>2</v>
      </c>
      <c r="BU94">
        <v>3</v>
      </c>
      <c r="BV94">
        <v>3</v>
      </c>
      <c r="BW94">
        <v>3</v>
      </c>
      <c r="BX94">
        <v>1</v>
      </c>
      <c r="BY94">
        <v>1</v>
      </c>
      <c r="BZ94">
        <v>1</v>
      </c>
      <c r="CA94">
        <v>5</v>
      </c>
      <c r="CB94">
        <v>3</v>
      </c>
      <c r="CC94">
        <v>3</v>
      </c>
      <c r="CD94">
        <v>2</v>
      </c>
      <c r="CE94">
        <v>1</v>
      </c>
      <c r="CF94">
        <v>5</v>
      </c>
      <c r="CG94">
        <v>1</v>
      </c>
      <c r="CH94">
        <v>2</v>
      </c>
      <c r="CI94">
        <v>5</v>
      </c>
      <c r="CJ94">
        <v>3</v>
      </c>
      <c r="CK94">
        <v>5</v>
      </c>
      <c r="CL94">
        <v>3</v>
      </c>
      <c r="CM94">
        <v>1</v>
      </c>
      <c r="CN94" t="s">
        <v>223</v>
      </c>
      <c r="CO94">
        <v>1</v>
      </c>
      <c r="CP94">
        <v>6</v>
      </c>
      <c r="CQ94">
        <v>3</v>
      </c>
      <c r="CR94">
        <v>1</v>
      </c>
      <c r="CS94">
        <v>1</v>
      </c>
      <c r="CT94">
        <v>7</v>
      </c>
      <c r="CU94">
        <v>5</v>
      </c>
      <c r="CV94">
        <v>2</v>
      </c>
      <c r="CW94">
        <v>1</v>
      </c>
      <c r="CX94" t="s">
        <v>237</v>
      </c>
      <c r="CY94">
        <v>5</v>
      </c>
      <c r="CZ94">
        <v>2</v>
      </c>
      <c r="DA94">
        <v>3</v>
      </c>
      <c r="DB94">
        <v>2</v>
      </c>
      <c r="DC94">
        <v>3</v>
      </c>
      <c r="DD94">
        <v>3</v>
      </c>
      <c r="DE94">
        <v>6</v>
      </c>
      <c r="DF94">
        <v>5</v>
      </c>
      <c r="DG94">
        <v>2</v>
      </c>
      <c r="DH94" t="s">
        <v>223</v>
      </c>
      <c r="DI94" t="s">
        <v>223</v>
      </c>
      <c r="DJ94"/>
      <c r="DK94"/>
      <c r="DL94"/>
      <c r="DM94"/>
      <c r="DN94"/>
      <c r="DO94"/>
      <c r="DP94"/>
      <c r="DQ94"/>
      <c r="DR94"/>
      <c r="DS94"/>
    </row>
    <row r="95" spans="1:123" s="12" customFormat="1">
      <c r="A95" s="64">
        <v>43692.669687499998</v>
      </c>
      <c r="B95" s="67" t="s">
        <v>118</v>
      </c>
      <c r="C95" s="10">
        <f t="shared" si="4"/>
        <v>94</v>
      </c>
      <c r="D95" s="73" t="s">
        <v>139</v>
      </c>
      <c r="E95" s="67" t="s">
        <v>119</v>
      </c>
      <c r="F95" s="72">
        <v>14</v>
      </c>
      <c r="G95" s="67">
        <v>21.9</v>
      </c>
      <c r="H95" s="67">
        <v>61</v>
      </c>
      <c r="I95" s="67">
        <v>582</v>
      </c>
      <c r="J95" s="67">
        <v>0.7</v>
      </c>
      <c r="K95" s="67">
        <v>85</v>
      </c>
      <c r="L95" s="68">
        <v>0.49</v>
      </c>
      <c r="M95" s="82">
        <v>23.153700000000001</v>
      </c>
      <c r="N95" s="67">
        <v>0.06</v>
      </c>
      <c r="O95" s="67">
        <v>54.5</v>
      </c>
      <c r="P95" s="68">
        <v>0</v>
      </c>
      <c r="Q95" s="11"/>
      <c r="R95" s="68">
        <v>124</v>
      </c>
      <c r="S95" s="68">
        <v>168</v>
      </c>
      <c r="T95" s="68">
        <v>101</v>
      </c>
      <c r="U95" s="11"/>
      <c r="V95" s="24">
        <f t="shared" si="5"/>
        <v>146</v>
      </c>
      <c r="W95" s="11"/>
      <c r="X95" s="68">
        <v>11.2</v>
      </c>
      <c r="Y95" s="68">
        <v>1.2</v>
      </c>
      <c r="Z95" s="68">
        <v>2.2999999999999998</v>
      </c>
      <c r="AA95" s="68">
        <v>3.5</v>
      </c>
      <c r="AB95" s="68">
        <v>14.7</v>
      </c>
      <c r="AC95" s="68"/>
      <c r="AD95" s="68">
        <v>6</v>
      </c>
      <c r="AE95" s="11"/>
      <c r="AF95" s="89" t="s">
        <v>251</v>
      </c>
      <c r="AG95" t="s">
        <v>211</v>
      </c>
      <c r="AH95" t="s">
        <v>212</v>
      </c>
      <c r="AI95" t="s">
        <v>212</v>
      </c>
      <c r="AJ95" t="s">
        <v>212</v>
      </c>
      <c r="AK95">
        <v>0.49</v>
      </c>
      <c r="AL95" t="s">
        <v>281</v>
      </c>
      <c r="AM95" t="s">
        <v>328</v>
      </c>
      <c r="AN95" t="s">
        <v>215</v>
      </c>
      <c r="AO95" t="s">
        <v>234</v>
      </c>
      <c r="AP95" t="s">
        <v>217</v>
      </c>
      <c r="AQ95" t="s">
        <v>227</v>
      </c>
      <c r="AR95" t="s">
        <v>214</v>
      </c>
      <c r="AS95" t="s">
        <v>214</v>
      </c>
      <c r="AT95" t="s">
        <v>221</v>
      </c>
      <c r="AU95" t="s">
        <v>212</v>
      </c>
      <c r="AV95">
        <v>1240</v>
      </c>
      <c r="AW95">
        <v>1680</v>
      </c>
      <c r="AX95">
        <v>1010</v>
      </c>
      <c r="AY95">
        <f t="shared" si="3"/>
        <v>1310</v>
      </c>
      <c r="AZ95" t="s">
        <v>211</v>
      </c>
      <c r="BA95">
        <v>2.74</v>
      </c>
      <c r="BB95">
        <v>1</v>
      </c>
      <c r="BC95" t="s">
        <v>211</v>
      </c>
      <c r="BD95">
        <v>0.5</v>
      </c>
      <c r="BE95" t="s">
        <v>250</v>
      </c>
      <c r="BF95" t="s">
        <v>221</v>
      </c>
      <c r="BG95" t="s">
        <v>221</v>
      </c>
      <c r="BH95">
        <v>1.84</v>
      </c>
      <c r="BI95">
        <v>0.6</v>
      </c>
      <c r="BJ95">
        <v>0.74</v>
      </c>
      <c r="BK95" t="s">
        <v>221</v>
      </c>
      <c r="BL95">
        <v>2</v>
      </c>
      <c r="BM95">
        <v>4</v>
      </c>
      <c r="BN95">
        <v>4</v>
      </c>
      <c r="BO95">
        <v>2</v>
      </c>
      <c r="BP95">
        <v>2</v>
      </c>
      <c r="BQ95">
        <v>2</v>
      </c>
      <c r="BR95">
        <v>6</v>
      </c>
      <c r="BS95">
        <v>2</v>
      </c>
      <c r="BT95">
        <v>1</v>
      </c>
      <c r="BU95">
        <v>5</v>
      </c>
      <c r="BV95">
        <v>5</v>
      </c>
      <c r="BW95">
        <v>5</v>
      </c>
      <c r="BX95">
        <v>1</v>
      </c>
      <c r="BY95">
        <v>3</v>
      </c>
      <c r="BZ95">
        <v>3</v>
      </c>
      <c r="CA95">
        <v>7</v>
      </c>
      <c r="CB95">
        <v>4</v>
      </c>
      <c r="CC95">
        <v>4</v>
      </c>
      <c r="CD95">
        <v>2</v>
      </c>
      <c r="CE95">
        <v>1</v>
      </c>
      <c r="CF95">
        <v>7</v>
      </c>
      <c r="CG95">
        <v>1</v>
      </c>
      <c r="CH95">
        <v>3</v>
      </c>
      <c r="CI95">
        <v>7</v>
      </c>
      <c r="CJ95">
        <v>3</v>
      </c>
      <c r="CK95">
        <v>7</v>
      </c>
      <c r="CL95">
        <v>3</v>
      </c>
      <c r="CM95">
        <v>1</v>
      </c>
      <c r="CN95" t="s">
        <v>223</v>
      </c>
      <c r="CO95">
        <v>1</v>
      </c>
      <c r="CP95">
        <v>7</v>
      </c>
      <c r="CQ95">
        <v>6</v>
      </c>
      <c r="CR95">
        <v>1</v>
      </c>
      <c r="CS95">
        <v>1</v>
      </c>
      <c r="CT95">
        <v>7</v>
      </c>
      <c r="CU95">
        <v>7</v>
      </c>
      <c r="CV95">
        <v>2</v>
      </c>
      <c r="CW95">
        <v>1</v>
      </c>
      <c r="CX95" t="s">
        <v>257</v>
      </c>
      <c r="CY95">
        <v>6</v>
      </c>
      <c r="CZ95">
        <v>2</v>
      </c>
      <c r="DA95">
        <v>3</v>
      </c>
      <c r="DB95">
        <v>1</v>
      </c>
      <c r="DC95">
        <v>6</v>
      </c>
      <c r="DD95">
        <v>4</v>
      </c>
      <c r="DE95">
        <v>3</v>
      </c>
      <c r="DF95">
        <v>5</v>
      </c>
      <c r="DG95">
        <v>4</v>
      </c>
      <c r="DH95" t="s">
        <v>344</v>
      </c>
      <c r="DI95" t="s">
        <v>223</v>
      </c>
      <c r="DJ95"/>
      <c r="DK95"/>
      <c r="DL95"/>
      <c r="DM95"/>
      <c r="DN95"/>
      <c r="DO95"/>
      <c r="DP95"/>
      <c r="DQ95"/>
      <c r="DR95"/>
      <c r="DS95"/>
    </row>
    <row r="96" spans="1:123" s="27" customFormat="1" ht="14">
      <c r="A96" s="84">
        <v>43857.441620370373</v>
      </c>
      <c r="B96" s="27" t="str">
        <f ca="1">IFERROR(__xludf.DUMMYFUNCTION("ARRAYFORMULA(TRANSPOSE(IMPORTRANGE(""https://docs.google.com/spreadsheets/d/1vUC_ao4--yPDGKtxLdjykbyJXOWrbmmgNNomJZzdp8g/edit"", ""ManEntries!B1:1"")))"),"D00160")</f>
        <v>D00160</v>
      </c>
      <c r="C96" s="86">
        <f t="shared" si="4"/>
        <v>95</v>
      </c>
      <c r="D96" s="27" t="s">
        <v>139</v>
      </c>
      <c r="E96" s="27" t="s">
        <v>19</v>
      </c>
      <c r="F96" s="27">
        <v>10</v>
      </c>
      <c r="G96" s="27">
        <f ca="1">IFERROR(__xludf.DUMMYFUNCTION("ARRAYFORMULA(TRANSPOSE(IMPORTRANGE(""https://docs.google.com/spreadsheets/d/1vUC_ao4--yPDGKtxLdjykbyJXOWrbmmgNNomJZzdp8g/edit"", ""ManEntries!B40:40"")))"),21.5)</f>
        <v>21.5</v>
      </c>
      <c r="H96" s="27">
        <f ca="1">IFERROR(__xludf.DUMMYFUNCTION("ARRAYFORMULA(TRANSPOSE(IMPORTRANGE(""https://docs.google.com/spreadsheets/d/1vUC_ao4--yPDGKtxLdjykbyJXOWrbmmgNNomJZzdp8g/edit"", ""ManEntries!B41:41"")))"),43.6)</f>
        <v>43.6</v>
      </c>
      <c r="I96" s="27">
        <v>941</v>
      </c>
      <c r="J96" s="27">
        <v>0.9</v>
      </c>
      <c r="K96" s="27">
        <v>138</v>
      </c>
      <c r="L96" s="27">
        <v>0.5</v>
      </c>
      <c r="M96" s="27">
        <v>21.186323582540599</v>
      </c>
      <c r="N96" s="27">
        <v>0.01</v>
      </c>
      <c r="O96" s="27">
        <v>47.4</v>
      </c>
      <c r="P96" s="27">
        <v>0</v>
      </c>
      <c r="R96" s="27">
        <f ca="1">IFERROR(__xludf.DUMMYFUNCTION("ARRAYFORMULA(TRANSPOSE(IMPORTRANGE(""https://docs.google.com/spreadsheets/d/1vUC_ao4--yPDGKtxLdjykbyJXOWrbmmgNNomJZzdp8g/edit"", ""ManEntries!B22:25"")))"),159)</f>
        <v>159</v>
      </c>
      <c r="S96" s="27">
        <f ca="1">IFERROR(__xludf.DUMMYFUNCTION("""COMPUTED_VALUE"""),185)</f>
        <v>185</v>
      </c>
      <c r="T96" s="27">
        <f ca="1">IFERROR(__xludf.DUMMYFUNCTION("""COMPUTED_VALUE"""),204)</f>
        <v>204</v>
      </c>
      <c r="V96" s="27">
        <f t="shared" ca="1" si="5"/>
        <v>172</v>
      </c>
      <c r="AD96" s="27">
        <v>2</v>
      </c>
      <c r="AF96" s="95" t="str">
        <f ca="1">IFERROR(__xludf.DUMMYFUNCTION("ARRAYFORMULA(TRANSPOSE(IMPORTRANGE(""https://docs.google.com/spreadsheets/d/1vUC_ao4--yPDGKtxLdjykbyJXOWrbmmgNNomJZzdp8g/edit"", ""ManEntries!B3:7"")))"),"Semi private (2-5 desks)")</f>
        <v>Semi private (2-5 desks)</v>
      </c>
      <c r="AG96" t="str">
        <f ca="1">IFERROR(__xludf.DUMMYFUNCTION("""COMPUTED_VALUE"""),"No")</f>
        <v>No</v>
      </c>
      <c r="AH96" t="str">
        <f ca="1">IFERROR(__xludf.DUMMYFUNCTION("""COMPUTED_VALUE"""),"Yes")</f>
        <v>Yes</v>
      </c>
      <c r="AI96" t="str">
        <f ca="1">IFERROR(__xludf.DUMMYFUNCTION("""COMPUTED_VALUE"""),"Yes")</f>
        <v>Yes</v>
      </c>
      <c r="AJ96" t="str">
        <f ca="1">IFERROR(__xludf.DUMMYFUNCTION("""COMPUTED_VALUE"""),"No")</f>
        <v>No</v>
      </c>
      <c r="AK96">
        <f t="array" ref="AK96:AK97">TRANSPOSE('[1]Garment Insulation'!R125:ER125)</f>
        <v>0</v>
      </c>
      <c r="AL96"/>
      <c r="AM96" s="95" t="str">
        <f ca="1">IFERROR(__xludf.DUMMYFUNCTION("ARRAYFORMULA(TRANSPOSE(IMPORTRANGE(""https://docs.google.com/spreadsheets/d/1vUC_ao4--yPDGKtxLdjykbyJXOWrbmmgNNomJZzdp8g/edit"", ""ManEntries!B10:19"")))"),"Laminate")</f>
        <v>Laminate</v>
      </c>
      <c r="AN96" t="str">
        <f ca="1">IFERROR(__xludf.DUMMYFUNCTION("""COMPUTED_VALUE"""),"White")</f>
        <v>White</v>
      </c>
      <c r="AO96" t="str">
        <f ca="1">IFERROR(__xludf.DUMMYFUNCTION("""COMPUTED_VALUE"""),"Office chair")</f>
        <v>Office chair</v>
      </c>
      <c r="AP96" t="str">
        <f ca="1">IFERROR(__xludf.DUMMYFUNCTION("""COMPUTED_VALUE"""),"Cloth")</f>
        <v>Cloth</v>
      </c>
      <c r="AQ96" t="str">
        <f ca="1">IFERROR(__xludf.DUMMYFUNCTION("""COMPUTED_VALUE"""),"Carpet")</f>
        <v>Carpet</v>
      </c>
      <c r="AR96" t="str">
        <f ca="1">IFERROR(__xludf.DUMMYFUNCTION("""COMPUTED_VALUE"""),"Grey")</f>
        <v>Grey</v>
      </c>
      <c r="AS96" t="str">
        <f ca="1">IFERROR(__xludf.DUMMYFUNCTION("""COMPUTED_VALUE"""),"White")</f>
        <v>White</v>
      </c>
      <c r="AT96" t="str">
        <f ca="1">IFERROR(__xludf.DUMMYFUNCTION("""COMPUTED_VALUE"""),"White")</f>
        <v>White</v>
      </c>
      <c r="AU96" t="str">
        <f ca="1">IFERROR(__xludf.DUMMYFUNCTION("""COMPUTED_VALUE"""),"N/A")</f>
        <v>N/A</v>
      </c>
      <c r="AV96" t="str">
        <f ca="1">IFERROR(__xludf.DUMMYFUNCTION("""COMPUTED_VALUE"""),"No")</f>
        <v>No</v>
      </c>
      <c r="AW96" s="95">
        <f ca="1">IFERROR(__xludf.DUMMYFUNCTION("ARRAYFORMULA(TRANSPOSE(IMPORTRANGE(""https://docs.google.com/spreadsheets/d/1vUC_ao4--yPDGKtxLdjykbyJXOWrbmmgNNomJZzdp8g/edit"", ""ManEntries!B22:25"")))"),159)</f>
        <v>159</v>
      </c>
      <c r="AX96">
        <f ca="1">IFERROR(__xludf.DUMMYFUNCTION("""COMPUTED_VALUE"""),185)</f>
        <v>185</v>
      </c>
      <c r="AY96">
        <f ca="1">IFERROR(__xludf.DUMMYFUNCTION("""COMPUTED_VALUE"""),204)</f>
        <v>204</v>
      </c>
      <c r="AZ96" t="str">
        <f ca="1">IFERROR(__xludf.DUMMYFUNCTION("""COMPUTED_VALUE"""),"No")</f>
        <v>No</v>
      </c>
      <c r="BA96" s="95">
        <f ca="1">IFERROR(__xludf.DUMMYFUNCTION("ARRAYFORMULA(TRANSPOSE(IMPORTRANGE(""https://docs.google.com/spreadsheets/d/1vUC_ao4--yPDGKtxLdjykbyJXOWrbmmgNNomJZzdp8g/edit"", ""ManEntries!B27:28"")))"),3)</f>
        <v>3</v>
      </c>
      <c r="BB96">
        <f ca="1">IFERROR(__xludf.DUMMYFUNCTION("""COMPUTED_VALUE"""),0.4)</f>
        <v>0.4</v>
      </c>
      <c r="BC96" s="95" t="str">
        <f ca="1">IFERROR(__xludf.DUMMYFUNCTION("ARRAYFORMULA(TRANSPOSE(IMPORTRANGE(""https://docs.google.com/spreadsheets/d/1vUC_ao4--yPDGKtxLdjykbyJXOWrbmmgNNomJZzdp8g/edit"", ""ManEntries!B20:20"")))"),"No")</f>
        <v>No</v>
      </c>
      <c r="BD96" s="95">
        <f ca="1">IFERROR(__xludf.DUMMYFUNCTION("ARRAYFORMULA(TRANSPOSE(IMPORTRANGE(""https://docs.google.com/spreadsheets/d/1vUC_ao4--yPDGKtxLdjykbyJXOWrbmmgNNomJZzdp8g/edit"", ""ManEntries!B29:32"")))"),3)</f>
        <v>3</v>
      </c>
      <c r="BE96" t="str">
        <f ca="1">IFERROR(__xludf.DUMMYFUNCTION("""COMPUTED_VALUE"""),"SW")</f>
        <v>SW</v>
      </c>
      <c r="BF96" t="str">
        <f ca="1">IFERROR(__xludf.DUMMYFUNCTION("""COMPUTED_VALUE"""),"n/a")</f>
        <v>n/a</v>
      </c>
      <c r="BG96" t="str">
        <f ca="1">IFERROR(__xludf.DUMMYFUNCTION("""COMPUTED_VALUE"""),"n/a")</f>
        <v>n/a</v>
      </c>
      <c r="BH96" s="95">
        <f ca="1">IFERROR(__xludf.DUMMYFUNCTION("ARRAYFORMULA(TRANSPOSE(IMPORTRANGE(""https://docs.google.com/spreadsheets/d/1vUC_ao4--yPDGKtxLdjykbyJXOWrbmmgNNomJZzdp8g/edit"", ""ManEntries!B34:37"")))"),2.235)</f>
        <v>2.2349999999999999</v>
      </c>
      <c r="BI96">
        <f ca="1">IFERROR(__xludf.DUMMYFUNCTION("""COMPUTED_VALUE"""),0.75)</f>
        <v>0.75</v>
      </c>
      <c r="BJ96">
        <f ca="1">IFERROR(__xludf.DUMMYFUNCTION("""COMPUTED_VALUE"""),0.72)</f>
        <v>0.72</v>
      </c>
      <c r="BK96" t="str">
        <f ca="1">IFERROR(__xludf.DUMMYFUNCTION("""COMPUTED_VALUE"""),"NA")</f>
        <v>NA</v>
      </c>
      <c r="BL96">
        <v>2</v>
      </c>
      <c r="BM96">
        <v>1</v>
      </c>
      <c r="BN96">
        <v>4</v>
      </c>
      <c r="BO96">
        <v>2</v>
      </c>
      <c r="BP96">
        <v>2</v>
      </c>
      <c r="BQ96">
        <v>2</v>
      </c>
      <c r="BR96">
        <v>2</v>
      </c>
      <c r="BS96">
        <v>1</v>
      </c>
      <c r="BT96">
        <v>3</v>
      </c>
      <c r="BU96">
        <v>3</v>
      </c>
      <c r="BV96">
        <v>3</v>
      </c>
      <c r="BW96">
        <v>3</v>
      </c>
      <c r="BX96">
        <v>3</v>
      </c>
      <c r="BY96">
        <v>3</v>
      </c>
      <c r="BZ96">
        <v>1</v>
      </c>
      <c r="CA96">
        <v>7</v>
      </c>
      <c r="CB96">
        <v>7</v>
      </c>
      <c r="CC96">
        <v>7</v>
      </c>
      <c r="CD96">
        <v>2</v>
      </c>
      <c r="CE96">
        <v>1</v>
      </c>
      <c r="CF96">
        <v>6</v>
      </c>
      <c r="CG96">
        <v>1</v>
      </c>
      <c r="CH96">
        <v>2</v>
      </c>
      <c r="CI96">
        <v>5</v>
      </c>
      <c r="CJ96">
        <v>6</v>
      </c>
      <c r="CK96">
        <v>7</v>
      </c>
      <c r="CL96">
        <v>5</v>
      </c>
      <c r="CM96">
        <v>1</v>
      </c>
      <c r="CN96" s="100" t="s">
        <v>223</v>
      </c>
      <c r="CO96">
        <v>2</v>
      </c>
      <c r="CP96">
        <v>7</v>
      </c>
      <c r="CQ96">
        <v>3</v>
      </c>
      <c r="CR96">
        <v>1</v>
      </c>
      <c r="CS96">
        <v>2</v>
      </c>
      <c r="CT96">
        <v>5</v>
      </c>
      <c r="CU96">
        <v>5</v>
      </c>
      <c r="CV96">
        <v>2</v>
      </c>
      <c r="CW96">
        <v>1</v>
      </c>
      <c r="CX96" s="100" t="s">
        <v>15</v>
      </c>
      <c r="CY96">
        <v>3</v>
      </c>
      <c r="CZ96">
        <v>2</v>
      </c>
      <c r="DA96">
        <v>3</v>
      </c>
      <c r="DB96">
        <v>1</v>
      </c>
      <c r="DC96">
        <v>3</v>
      </c>
      <c r="DD96">
        <v>3</v>
      </c>
      <c r="DE96">
        <v>7</v>
      </c>
      <c r="DF96">
        <v>4</v>
      </c>
      <c r="DG96">
        <v>5</v>
      </c>
      <c r="DH96" s="100" t="s">
        <v>223</v>
      </c>
      <c r="DI96" s="100" t="s">
        <v>223</v>
      </c>
      <c r="DJ96"/>
      <c r="DK96"/>
      <c r="DL96"/>
      <c r="DM96"/>
      <c r="DN96"/>
      <c r="DO96"/>
      <c r="DP96"/>
      <c r="DQ96"/>
      <c r="DR96"/>
      <c r="DS96"/>
    </row>
    <row r="97" spans="1:145" s="27" customFormat="1" ht="14">
      <c r="A97" s="84">
        <v>43857.457453703704</v>
      </c>
      <c r="B97" s="27" t="str">
        <f ca="1">IFERROR(__xludf.DUMMYFUNCTION("""COMPUTED_VALUE"""),"D00110")</f>
        <v>D00110</v>
      </c>
      <c r="C97" s="86">
        <f t="shared" si="4"/>
        <v>96</v>
      </c>
      <c r="D97" s="27" t="s">
        <v>139</v>
      </c>
      <c r="E97" s="27" t="s">
        <v>19</v>
      </c>
      <c r="F97" s="27">
        <v>10</v>
      </c>
      <c r="G97" s="27">
        <f ca="1">IFERROR(__xludf.DUMMYFUNCTION("""COMPUTED_VALUE"""),23)</f>
        <v>23</v>
      </c>
      <c r="H97" s="27">
        <f ca="1">IFERROR(__xludf.DUMMYFUNCTION("""COMPUTED_VALUE"""),42)</f>
        <v>42</v>
      </c>
      <c r="I97" s="27">
        <v>1026</v>
      </c>
      <c r="J97" s="27">
        <v>0.9</v>
      </c>
      <c r="K97" s="27">
        <v>134</v>
      </c>
      <c r="L97" s="27">
        <v>0.63</v>
      </c>
      <c r="M97" s="27">
        <v>22.424952797738499</v>
      </c>
      <c r="N97" s="27">
        <v>0.01</v>
      </c>
      <c r="O97" s="27">
        <v>52.7</v>
      </c>
      <c r="P97" s="27">
        <v>0</v>
      </c>
      <c r="R97" s="27">
        <f ca="1">IFERROR(__xludf.DUMMYFUNCTION("""COMPUTED_VALUE"""),2170)</f>
        <v>2170</v>
      </c>
      <c r="S97" s="27">
        <f ca="1">IFERROR(__xludf.DUMMYFUNCTION("""COMPUTED_VALUE"""),3100)</f>
        <v>3100</v>
      </c>
      <c r="T97" s="27">
        <f ca="1">IFERROR(__xludf.DUMMYFUNCTION("""COMPUTED_VALUE"""),15040)</f>
        <v>15040</v>
      </c>
      <c r="V97" s="27">
        <f t="shared" ca="1" si="5"/>
        <v>2635</v>
      </c>
      <c r="AD97" s="27">
        <v>4</v>
      </c>
      <c r="AF97" t="str">
        <f ca="1">IFERROR(__xludf.DUMMYFUNCTION("""COMPUTED_VALUE"""),"Open plan")</f>
        <v>Open plan</v>
      </c>
      <c r="AG97" t="str">
        <f ca="1">IFERROR(__xludf.DUMMYFUNCTION("""COMPUTED_VALUE"""),"No")</f>
        <v>No</v>
      </c>
      <c r="AH97" t="str">
        <f ca="1">IFERROR(__xludf.DUMMYFUNCTION("""COMPUTED_VALUE"""),"No")</f>
        <v>No</v>
      </c>
      <c r="AI97" t="str">
        <f ca="1">IFERROR(__xludf.DUMMYFUNCTION("""COMPUTED_VALUE"""),"No")</f>
        <v>No</v>
      </c>
      <c r="AJ97" t="str">
        <f ca="1">IFERROR(__xludf.DUMMYFUNCTION("""COMPUTED_VALUE"""),"No")</f>
        <v>No</v>
      </c>
      <c r="AK97">
        <v>0</v>
      </c>
      <c r="AL97"/>
      <c r="AM97" t="str">
        <f ca="1">IFERROR(__xludf.DUMMYFUNCTION("""COMPUTED_VALUE"""),"Laminate")</f>
        <v>Laminate</v>
      </c>
      <c r="AN97" t="str">
        <f ca="1">IFERROR(__xludf.DUMMYFUNCTION("""COMPUTED_VALUE"""),"White")</f>
        <v>White</v>
      </c>
      <c r="AO97" t="str">
        <f ca="1">IFERROR(__xludf.DUMMYFUNCTION("""COMPUTED_VALUE"""),"Office chair")</f>
        <v>Office chair</v>
      </c>
      <c r="AP97" t="str">
        <f ca="1">IFERROR(__xludf.DUMMYFUNCTION("""COMPUTED_VALUE"""),"Cloth")</f>
        <v>Cloth</v>
      </c>
      <c r="AQ97" t="str">
        <f ca="1">IFERROR(__xludf.DUMMYFUNCTION("""COMPUTED_VALUE"""),"Carpet")</f>
        <v>Carpet</v>
      </c>
      <c r="AR97" t="str">
        <f ca="1">IFERROR(__xludf.DUMMYFUNCTION("""COMPUTED_VALUE"""),"Grey")</f>
        <v>Grey</v>
      </c>
      <c r="AS97" t="str">
        <f ca="1">IFERROR(__xludf.DUMMYFUNCTION("""COMPUTED_VALUE"""),"White")</f>
        <v>White</v>
      </c>
      <c r="AT97" t="str">
        <f ca="1">IFERROR(__xludf.DUMMYFUNCTION("""COMPUTED_VALUE"""),"White")</f>
        <v>White</v>
      </c>
      <c r="AU97" t="str">
        <f ca="1">IFERROR(__xludf.DUMMYFUNCTION("""COMPUTED_VALUE"""),"N/A")</f>
        <v>N/A</v>
      </c>
      <c r="AV97" t="str">
        <f ca="1">IFERROR(__xludf.DUMMYFUNCTION("""COMPUTED_VALUE"""),"No")</f>
        <v>No</v>
      </c>
      <c r="AW97">
        <f ca="1">IFERROR(__xludf.DUMMYFUNCTION("""COMPUTED_VALUE"""),2170)</f>
        <v>2170</v>
      </c>
      <c r="AX97">
        <f ca="1">IFERROR(__xludf.DUMMYFUNCTION("""COMPUTED_VALUE"""),3100)</f>
        <v>3100</v>
      </c>
      <c r="AY97">
        <f ca="1">IFERROR(__xludf.DUMMYFUNCTION("""COMPUTED_VALUE"""),15040)</f>
        <v>15040</v>
      </c>
      <c r="AZ97" t="str">
        <f ca="1">IFERROR(__xludf.DUMMYFUNCTION("""COMPUTED_VALUE"""),"No")</f>
        <v>No</v>
      </c>
      <c r="BA97">
        <f ca="1">IFERROR(__xludf.DUMMYFUNCTION("""COMPUTED_VALUE"""),3)</f>
        <v>3</v>
      </c>
      <c r="BB97">
        <f ca="1">IFERROR(__xludf.DUMMYFUNCTION("""COMPUTED_VALUE"""),6.3)</f>
        <v>6.3</v>
      </c>
      <c r="BC97" t="str">
        <f ca="1">IFERROR(__xludf.DUMMYFUNCTION("""COMPUTED_VALUE"""),"No")</f>
        <v>No</v>
      </c>
      <c r="BD97">
        <f ca="1">IFERROR(__xludf.DUMMYFUNCTION("""COMPUTED_VALUE"""),0.4)</f>
        <v>0.4</v>
      </c>
      <c r="BE97" t="str">
        <f ca="1">IFERROR(__xludf.DUMMYFUNCTION("""COMPUTED_VALUE"""),"SE")</f>
        <v>SE</v>
      </c>
      <c r="BF97" t="str">
        <f ca="1">IFERROR(__xludf.DUMMYFUNCTION("""COMPUTED_VALUE"""),"N/A")</f>
        <v>N/A</v>
      </c>
      <c r="BG97" t="str">
        <f ca="1">IFERROR(__xludf.DUMMYFUNCTION("""COMPUTED_VALUE"""),"N/A")</f>
        <v>N/A</v>
      </c>
      <c r="BH97">
        <f ca="1">IFERROR(__xludf.DUMMYFUNCTION("""COMPUTED_VALUE"""),2.12)</f>
        <v>2.12</v>
      </c>
      <c r="BI97">
        <f ca="1">IFERROR(__xludf.DUMMYFUNCTION("""COMPUTED_VALUE"""),0.75)</f>
        <v>0.75</v>
      </c>
      <c r="BJ97">
        <f ca="1">IFERROR(__xludf.DUMMYFUNCTION("""COMPUTED_VALUE"""),0.75)</f>
        <v>0.75</v>
      </c>
      <c r="BK97" t="str">
        <f ca="1">IFERROR(__xludf.DUMMYFUNCTION("""COMPUTED_VALUE"""),"NA")</f>
        <v>NA</v>
      </c>
      <c r="BL97">
        <v>2</v>
      </c>
      <c r="BM97">
        <v>2</v>
      </c>
      <c r="BN97">
        <v>2</v>
      </c>
      <c r="BO97">
        <v>2</v>
      </c>
      <c r="BP97">
        <v>2</v>
      </c>
      <c r="BQ97">
        <v>3</v>
      </c>
      <c r="BR97">
        <v>4</v>
      </c>
      <c r="BS97">
        <v>1</v>
      </c>
      <c r="BT97">
        <v>3</v>
      </c>
      <c r="BU97" s="100" t="s">
        <v>223</v>
      </c>
      <c r="BV97" s="100" t="s">
        <v>223</v>
      </c>
      <c r="BW97" s="100" t="s">
        <v>223</v>
      </c>
      <c r="BX97">
        <v>4</v>
      </c>
      <c r="BY97" s="100" t="s">
        <v>223</v>
      </c>
      <c r="BZ97" s="100" t="s">
        <v>223</v>
      </c>
      <c r="CA97">
        <v>7</v>
      </c>
      <c r="CB97">
        <v>3</v>
      </c>
      <c r="CC97">
        <v>5</v>
      </c>
      <c r="CD97">
        <v>2</v>
      </c>
      <c r="CE97">
        <v>1</v>
      </c>
      <c r="CF97">
        <v>6</v>
      </c>
      <c r="CG97">
        <v>2</v>
      </c>
      <c r="CH97">
        <v>3</v>
      </c>
      <c r="CI97">
        <v>6</v>
      </c>
      <c r="CJ97">
        <v>2</v>
      </c>
      <c r="CK97">
        <v>3</v>
      </c>
      <c r="CL97">
        <v>5</v>
      </c>
      <c r="CM97">
        <v>1</v>
      </c>
      <c r="CN97" s="100" t="s">
        <v>223</v>
      </c>
      <c r="CO97">
        <v>2</v>
      </c>
      <c r="CP97">
        <v>6</v>
      </c>
      <c r="CQ97">
        <v>6</v>
      </c>
      <c r="CR97">
        <v>1</v>
      </c>
      <c r="CS97">
        <v>3</v>
      </c>
      <c r="CT97">
        <v>6</v>
      </c>
      <c r="CU97">
        <v>6</v>
      </c>
      <c r="CV97">
        <v>2</v>
      </c>
      <c r="CW97">
        <v>3</v>
      </c>
      <c r="CX97" s="100" t="s">
        <v>237</v>
      </c>
      <c r="CY97">
        <v>6</v>
      </c>
      <c r="CZ97">
        <v>1</v>
      </c>
      <c r="DA97">
        <v>3</v>
      </c>
      <c r="DB97">
        <v>2</v>
      </c>
      <c r="DC97">
        <v>4</v>
      </c>
      <c r="DD97">
        <v>4</v>
      </c>
      <c r="DE97">
        <v>6</v>
      </c>
      <c r="DF97">
        <v>4</v>
      </c>
      <c r="DG97">
        <v>5</v>
      </c>
      <c r="DH97" s="100" t="s">
        <v>223</v>
      </c>
      <c r="DI97" s="100" t="s">
        <v>223</v>
      </c>
      <c r="DJ97"/>
      <c r="DK97"/>
      <c r="DL97"/>
      <c r="DM97"/>
      <c r="DN97"/>
      <c r="DO97"/>
      <c r="DP97"/>
      <c r="DQ97"/>
      <c r="DR97"/>
      <c r="DS97"/>
    </row>
    <row r="98" spans="1:145" s="27" customFormat="1" ht="14">
      <c r="A98" s="84">
        <v>43857.488877314812</v>
      </c>
      <c r="B98" s="27" t="str">
        <f ca="1">IFERROR(__xludf.DUMMYFUNCTION("""COMPUTED_VALUE"""),"E00295")</f>
        <v>E00295</v>
      </c>
      <c r="C98" s="86">
        <f t="shared" si="4"/>
        <v>97</v>
      </c>
      <c r="D98" s="27" t="s">
        <v>139</v>
      </c>
      <c r="E98" s="27" t="s">
        <v>19</v>
      </c>
      <c r="F98" s="27">
        <v>10</v>
      </c>
      <c r="G98" s="27">
        <f ca="1">IFERROR(__xludf.DUMMYFUNCTION("""COMPUTED_VALUE"""),23.9)</f>
        <v>23.9</v>
      </c>
      <c r="H98" s="27">
        <f ca="1">IFERROR(__xludf.DUMMYFUNCTION("""COMPUTED_VALUE"""),40.8)</f>
        <v>40.799999999999997</v>
      </c>
      <c r="I98" s="27">
        <v>1258</v>
      </c>
      <c r="J98" s="27">
        <v>0.8</v>
      </c>
      <c r="K98" s="27">
        <v>140</v>
      </c>
      <c r="L98" s="27">
        <v>0.55000000000000004</v>
      </c>
      <c r="M98" s="27">
        <v>22.502253393209301</v>
      </c>
      <c r="N98" s="27">
        <v>0.08</v>
      </c>
      <c r="O98" s="27">
        <v>48.6</v>
      </c>
      <c r="P98" s="27">
        <f ca="1">IFERROR(__xludf.DUMMYFUNCTION("""COMPUTED_VALUE"""),1.25)</f>
        <v>1.25</v>
      </c>
      <c r="R98" s="27">
        <f ca="1">IFERROR(__xludf.DUMMYFUNCTION("""COMPUTED_VALUE"""),323)</f>
        <v>323</v>
      </c>
      <c r="S98" s="27">
        <f ca="1">IFERROR(__xludf.DUMMYFUNCTION("""COMPUTED_VALUE"""),252)</f>
        <v>252</v>
      </c>
      <c r="T98" s="27">
        <f ca="1">IFERROR(__xludf.DUMMYFUNCTION("""COMPUTED_VALUE"""),741)</f>
        <v>741</v>
      </c>
      <c r="V98" s="27">
        <f t="shared" ca="1" si="5"/>
        <v>287.5</v>
      </c>
      <c r="AD98" s="27">
        <v>4</v>
      </c>
      <c r="AF98" t="str">
        <f ca="1">IFERROR(__xludf.DUMMYFUNCTION("""COMPUTED_VALUE"""),"Open plan")</f>
        <v>Open plan</v>
      </c>
      <c r="AG98" t="str">
        <f ca="1">IFERROR(__xludf.DUMMYFUNCTION("""COMPUTED_VALUE"""),"No")</f>
        <v>No</v>
      </c>
      <c r="AH98" t="str">
        <f ca="1">IFERROR(__xludf.DUMMYFUNCTION("""COMPUTED_VALUE"""),"Yes")</f>
        <v>Yes</v>
      </c>
      <c r="AI98" t="str">
        <f ca="1">IFERROR(__xludf.DUMMYFUNCTION("""COMPUTED_VALUE"""),"Yes")</f>
        <v>Yes</v>
      </c>
      <c r="AJ98" t="str">
        <f ca="1">IFERROR(__xludf.DUMMYFUNCTION("""COMPUTED_VALUE"""),"Yes")</f>
        <v>Yes</v>
      </c>
      <c r="AK98">
        <f t="array" ref="AK98">TRANSPOSE('[1]Garment Insulation'!R127:ER127)</f>
        <v>0</v>
      </c>
      <c r="AL98"/>
      <c r="AM98" t="str">
        <f ca="1">IFERROR(__xludf.DUMMYFUNCTION("""COMPUTED_VALUE"""),"wood")</f>
        <v>wood</v>
      </c>
      <c r="AN98" t="str">
        <f ca="1">IFERROR(__xludf.DUMMYFUNCTION("""COMPUTED_VALUE"""),"brown")</f>
        <v>brown</v>
      </c>
      <c r="AO98" t="str">
        <f ca="1">IFERROR(__xludf.DUMMYFUNCTION("""COMPUTED_VALUE"""),"Office chair")</f>
        <v>Office chair</v>
      </c>
      <c r="AP98" t="str">
        <f ca="1">IFERROR(__xludf.DUMMYFUNCTION("""COMPUTED_VALUE"""),"Cloth")</f>
        <v>Cloth</v>
      </c>
      <c r="AQ98" t="str">
        <f ca="1">IFERROR(__xludf.DUMMYFUNCTION("""COMPUTED_VALUE"""),"Carpet")</f>
        <v>Carpet</v>
      </c>
      <c r="AR98" t="str">
        <f ca="1">IFERROR(__xludf.DUMMYFUNCTION("""COMPUTED_VALUE"""),"Grey")</f>
        <v>Grey</v>
      </c>
      <c r="AS98" t="str">
        <f ca="1">IFERROR(__xludf.DUMMYFUNCTION("""COMPUTED_VALUE"""),"Cream")</f>
        <v>Cream</v>
      </c>
      <c r="AT98" t="str">
        <f ca="1">IFERROR(__xludf.DUMMYFUNCTION("""COMPUTED_VALUE"""),"Wood")</f>
        <v>Wood</v>
      </c>
      <c r="AU98" t="str">
        <f ca="1">IFERROR(__xludf.DUMMYFUNCTION("""COMPUTED_VALUE"""),"Grey")</f>
        <v>Grey</v>
      </c>
      <c r="AV98" t="str">
        <f ca="1">IFERROR(__xludf.DUMMYFUNCTION("""COMPUTED_VALUE"""),"No")</f>
        <v>No</v>
      </c>
      <c r="AW98">
        <f ca="1">IFERROR(__xludf.DUMMYFUNCTION("""COMPUTED_VALUE"""),323)</f>
        <v>323</v>
      </c>
      <c r="AX98">
        <f ca="1">IFERROR(__xludf.DUMMYFUNCTION("""COMPUTED_VALUE"""),252)</f>
        <v>252</v>
      </c>
      <c r="AY98">
        <f ca="1">IFERROR(__xludf.DUMMYFUNCTION("""COMPUTED_VALUE"""),741)</f>
        <v>741</v>
      </c>
      <c r="AZ98" t="str">
        <f ca="1">IFERROR(__xludf.DUMMYFUNCTION("""COMPUTED_VALUE"""),"No")</f>
        <v>No</v>
      </c>
      <c r="BA98">
        <f ca="1">IFERROR(__xludf.DUMMYFUNCTION("""COMPUTED_VALUE"""),3.7)</f>
        <v>3.7</v>
      </c>
      <c r="BB98" t="str">
        <f ca="1">IFERROR(__xludf.DUMMYFUNCTION("""COMPUTED_VALUE"""),"N/A")</f>
        <v>N/A</v>
      </c>
      <c r="BC98" t="str">
        <f ca="1">IFERROR(__xludf.DUMMYFUNCTION("""COMPUTED_VALUE"""),"No")</f>
        <v>No</v>
      </c>
      <c r="BD98">
        <f ca="1">IFERROR(__xludf.DUMMYFUNCTION("""COMPUTED_VALUE"""),2.76)</f>
        <v>2.76</v>
      </c>
      <c r="BE98" t="str">
        <f ca="1">IFERROR(__xludf.DUMMYFUNCTION("""COMPUTED_VALUE"""),"NW")</f>
        <v>NW</v>
      </c>
      <c r="BF98" t="str">
        <f ca="1">IFERROR(__xludf.DUMMYFUNCTION("""COMPUTED_VALUE"""),"N/A")</f>
        <v>N/A</v>
      </c>
      <c r="BG98" t="str">
        <f ca="1">IFERROR(__xludf.DUMMYFUNCTION("""COMPUTED_VALUE"""),"N/A")</f>
        <v>N/A</v>
      </c>
      <c r="BH98">
        <f ca="1">IFERROR(__xludf.DUMMYFUNCTION("""COMPUTED_VALUE"""),1.83)</f>
        <v>1.83</v>
      </c>
      <c r="BI98">
        <f ca="1">IFERROR(__xludf.DUMMYFUNCTION("""COMPUTED_VALUE"""),0.75)</f>
        <v>0.75</v>
      </c>
      <c r="BJ98">
        <f ca="1">IFERROR(__xludf.DUMMYFUNCTION("""COMPUTED_VALUE"""),0.74)</f>
        <v>0.74</v>
      </c>
      <c r="BK98">
        <f ca="1">IFERROR(__xludf.DUMMYFUNCTION("""COMPUTED_VALUE"""),1.25)</f>
        <v>1.25</v>
      </c>
      <c r="BL98">
        <v>1</v>
      </c>
      <c r="BM98">
        <v>2</v>
      </c>
      <c r="BN98">
        <v>3</v>
      </c>
      <c r="BO98">
        <v>2</v>
      </c>
      <c r="BP98">
        <v>2</v>
      </c>
      <c r="BQ98">
        <v>5</v>
      </c>
      <c r="BR98">
        <v>4</v>
      </c>
      <c r="BS98">
        <v>3</v>
      </c>
      <c r="BT98">
        <v>2</v>
      </c>
      <c r="BU98">
        <v>5</v>
      </c>
      <c r="BV98">
        <v>6</v>
      </c>
      <c r="BW98">
        <v>4</v>
      </c>
      <c r="BX98">
        <v>1</v>
      </c>
      <c r="BY98">
        <v>2</v>
      </c>
      <c r="BZ98">
        <v>3</v>
      </c>
      <c r="CA98">
        <v>6</v>
      </c>
      <c r="CB98">
        <v>4</v>
      </c>
      <c r="CC98">
        <v>6</v>
      </c>
      <c r="CD98">
        <v>2</v>
      </c>
      <c r="CE98">
        <v>1</v>
      </c>
      <c r="CF98">
        <v>6</v>
      </c>
      <c r="CG98">
        <v>1</v>
      </c>
      <c r="CH98">
        <v>2</v>
      </c>
      <c r="CI98">
        <v>5</v>
      </c>
      <c r="CJ98">
        <v>6</v>
      </c>
      <c r="CK98">
        <v>5</v>
      </c>
      <c r="CL98">
        <v>5</v>
      </c>
      <c r="CM98">
        <v>1</v>
      </c>
      <c r="CN98" s="100" t="s">
        <v>223</v>
      </c>
      <c r="CO98">
        <v>2</v>
      </c>
      <c r="CP98">
        <v>5</v>
      </c>
      <c r="CQ98">
        <v>5</v>
      </c>
      <c r="CR98">
        <v>1</v>
      </c>
      <c r="CS98">
        <v>2</v>
      </c>
      <c r="CT98">
        <v>7</v>
      </c>
      <c r="CU98">
        <v>6</v>
      </c>
      <c r="CV98">
        <v>2</v>
      </c>
      <c r="CW98">
        <v>2</v>
      </c>
      <c r="CX98" s="100" t="s">
        <v>237</v>
      </c>
      <c r="CY98">
        <v>5</v>
      </c>
      <c r="CZ98">
        <v>1</v>
      </c>
      <c r="DA98">
        <v>3</v>
      </c>
      <c r="DB98">
        <v>1</v>
      </c>
      <c r="DC98">
        <v>3</v>
      </c>
      <c r="DD98">
        <v>3</v>
      </c>
      <c r="DE98">
        <v>4</v>
      </c>
      <c r="DF98">
        <v>5</v>
      </c>
      <c r="DG98">
        <v>5</v>
      </c>
      <c r="DH98" s="100" t="s">
        <v>223</v>
      </c>
      <c r="DI98"/>
      <c r="DJ98"/>
      <c r="DK98"/>
      <c r="DL98"/>
      <c r="DM98"/>
      <c r="DN98"/>
      <c r="DO98"/>
      <c r="DP98"/>
      <c r="DQ98"/>
      <c r="DR98"/>
      <c r="DS98"/>
    </row>
    <row r="99" spans="1:145" s="27" customFormat="1" ht="14">
      <c r="A99" s="84">
        <v>43857.510636574072</v>
      </c>
      <c r="B99" s="27" t="str">
        <f ca="1">IFERROR(__xludf.DUMMYFUNCTION("""COMPUTED_VALUE"""),"D00220")</f>
        <v>D00220</v>
      </c>
      <c r="C99" s="86">
        <f t="shared" si="4"/>
        <v>98</v>
      </c>
      <c r="D99" s="27" t="s">
        <v>139</v>
      </c>
      <c r="E99" s="27" t="s">
        <v>19</v>
      </c>
      <c r="F99" s="27">
        <v>10</v>
      </c>
      <c r="G99" s="27">
        <f ca="1">IFERROR(__xludf.DUMMYFUNCTION("""COMPUTED_VALUE"""),23.5)</f>
        <v>23.5</v>
      </c>
      <c r="H99" s="27">
        <f ca="1">IFERROR(__xludf.DUMMYFUNCTION("""COMPUTED_VALUE"""),41)</f>
        <v>41</v>
      </c>
      <c r="I99" s="27">
        <v>1271</v>
      </c>
      <c r="J99" s="27">
        <v>0.7</v>
      </c>
      <c r="K99" s="27">
        <v>139</v>
      </c>
      <c r="L99" s="27">
        <v>0.57000000000000006</v>
      </c>
      <c r="M99" s="27">
        <v>22.440942562013301</v>
      </c>
      <c r="N99" s="27">
        <v>0.03</v>
      </c>
      <c r="O99" s="27">
        <v>48.5</v>
      </c>
      <c r="P99" s="27">
        <f ca="1">IFERROR(__xludf.DUMMYFUNCTION("""COMPUTED_VALUE"""),1.25)</f>
        <v>1.25</v>
      </c>
      <c r="R99" s="27">
        <f ca="1">IFERROR(__xludf.DUMMYFUNCTION("""COMPUTED_VALUE"""),256)</f>
        <v>256</v>
      </c>
      <c r="S99" s="27">
        <f ca="1">IFERROR(__xludf.DUMMYFUNCTION("""COMPUTED_VALUE"""),159)</f>
        <v>159</v>
      </c>
      <c r="T99" s="27">
        <f ca="1">IFERROR(__xludf.DUMMYFUNCTION("""COMPUTED_VALUE"""),137)</f>
        <v>137</v>
      </c>
      <c r="V99" s="27">
        <f t="shared" ca="1" si="5"/>
        <v>207.5</v>
      </c>
      <c r="AD99" s="27">
        <v>3</v>
      </c>
      <c r="AF99" t="str">
        <f ca="1">IFERROR(__xludf.DUMMYFUNCTION("""COMPUTED_VALUE"""),"Open plan")</f>
        <v>Open plan</v>
      </c>
      <c r="AG99" t="str">
        <f ca="1">IFERROR(__xludf.DUMMYFUNCTION("""COMPUTED_VALUE"""),"No")</f>
        <v>No</v>
      </c>
      <c r="AH99" t="str">
        <f ca="1">IFERROR(__xludf.DUMMYFUNCTION("""COMPUTED_VALUE"""),"Yes")</f>
        <v>Yes</v>
      </c>
      <c r="AI99" t="str">
        <f ca="1">IFERROR(__xludf.DUMMYFUNCTION("""COMPUTED_VALUE"""),"Yes")</f>
        <v>Yes</v>
      </c>
      <c r="AJ99" t="str">
        <f ca="1">IFERROR(__xludf.DUMMYFUNCTION("""COMPUTED_VALUE"""),"No")</f>
        <v>No</v>
      </c>
      <c r="AK99">
        <f t="array" ref="AK99:AK102">TRANSPOSE('[1]Garment Insulation'!R128:ER128)</f>
        <v>0</v>
      </c>
      <c r="AL99"/>
      <c r="AM99" t="str">
        <f ca="1">IFERROR(__xludf.DUMMYFUNCTION("""COMPUTED_VALUE"""),"wood")</f>
        <v>wood</v>
      </c>
      <c r="AN99" t="str">
        <f ca="1">IFERROR(__xludf.DUMMYFUNCTION("""COMPUTED_VALUE"""),"wood")</f>
        <v>wood</v>
      </c>
      <c r="AO99" t="str">
        <f ca="1">IFERROR(__xludf.DUMMYFUNCTION("""COMPUTED_VALUE"""),"Office chair")</f>
        <v>Office chair</v>
      </c>
      <c r="AP99" t="str">
        <f ca="1">IFERROR(__xludf.DUMMYFUNCTION("""COMPUTED_VALUE"""),"cloth")</f>
        <v>cloth</v>
      </c>
      <c r="AQ99" t="str">
        <f ca="1">IFERROR(__xludf.DUMMYFUNCTION("""COMPUTED_VALUE"""),"Carpet")</f>
        <v>Carpet</v>
      </c>
      <c r="AR99" t="str">
        <f ca="1">IFERROR(__xludf.DUMMYFUNCTION("""COMPUTED_VALUE"""),"Grey")</f>
        <v>Grey</v>
      </c>
      <c r="AS99" t="str">
        <f ca="1">IFERROR(__xludf.DUMMYFUNCTION("""COMPUTED_VALUE"""),"Cream")</f>
        <v>Cream</v>
      </c>
      <c r="AT99" t="str">
        <f ca="1">IFERROR(__xludf.DUMMYFUNCTION("""COMPUTED_VALUE"""),"Wood and white")</f>
        <v>Wood and white</v>
      </c>
      <c r="AU99" t="str">
        <f ca="1">IFERROR(__xludf.DUMMYFUNCTION("""COMPUTED_VALUE"""),"Grey")</f>
        <v>Grey</v>
      </c>
      <c r="AV99" t="str">
        <f ca="1">IFERROR(__xludf.DUMMYFUNCTION("""COMPUTED_VALUE"""),"No")</f>
        <v>No</v>
      </c>
      <c r="AW99">
        <f ca="1">IFERROR(__xludf.DUMMYFUNCTION("""COMPUTED_VALUE"""),256)</f>
        <v>256</v>
      </c>
      <c r="AX99">
        <f ca="1">IFERROR(__xludf.DUMMYFUNCTION("""COMPUTED_VALUE"""),159)</f>
        <v>159</v>
      </c>
      <c r="AY99">
        <f ca="1">IFERROR(__xludf.DUMMYFUNCTION("""COMPUTED_VALUE"""),137)</f>
        <v>137</v>
      </c>
      <c r="AZ99" t="str">
        <f ca="1">IFERROR(__xludf.DUMMYFUNCTION("""COMPUTED_VALUE"""),"No")</f>
        <v>No</v>
      </c>
      <c r="BA99">
        <f ca="1">IFERROR(__xludf.DUMMYFUNCTION("""COMPUTED_VALUE"""),3.7)</f>
        <v>3.7</v>
      </c>
      <c r="BB99">
        <f ca="1">IFERROR(__xludf.DUMMYFUNCTION("""COMPUTED_VALUE"""),3.3)</f>
        <v>3.3</v>
      </c>
      <c r="BC99" t="str">
        <f ca="1">IFERROR(__xludf.DUMMYFUNCTION("""COMPUTED_VALUE"""),"No")</f>
        <v>No</v>
      </c>
      <c r="BD99">
        <f ca="1">IFERROR(__xludf.DUMMYFUNCTION("""COMPUTED_VALUE"""),2.5)</f>
        <v>2.5</v>
      </c>
      <c r="BE99" t="str">
        <f ca="1">IFERROR(__xludf.DUMMYFUNCTION("""COMPUTED_VALUE"""),"NW")</f>
        <v>NW</v>
      </c>
      <c r="BF99" t="str">
        <f ca="1">IFERROR(__xludf.DUMMYFUNCTION("""COMPUTED_VALUE"""),"N/A")</f>
        <v>N/A</v>
      </c>
      <c r="BG99" t="str">
        <f ca="1">IFERROR(__xludf.DUMMYFUNCTION("""COMPUTED_VALUE"""),"N/A")</f>
        <v>N/A</v>
      </c>
      <c r="BH99">
        <f ca="1">IFERROR(__xludf.DUMMYFUNCTION("""COMPUTED_VALUE"""),1.75)</f>
        <v>1.75</v>
      </c>
      <c r="BI99">
        <f ca="1">IFERROR(__xludf.DUMMYFUNCTION("""COMPUTED_VALUE"""),0.75)</f>
        <v>0.75</v>
      </c>
      <c r="BJ99">
        <f ca="1">IFERROR(__xludf.DUMMYFUNCTION("""COMPUTED_VALUE"""),0.75)</f>
        <v>0.75</v>
      </c>
      <c r="BK99">
        <f ca="1">IFERROR(__xludf.DUMMYFUNCTION("""COMPUTED_VALUE"""),1.25)</f>
        <v>1.25</v>
      </c>
      <c r="BL99">
        <v>2</v>
      </c>
      <c r="BM99">
        <v>1</v>
      </c>
      <c r="BN99">
        <v>2</v>
      </c>
      <c r="BO99">
        <v>2</v>
      </c>
      <c r="BP99">
        <v>2</v>
      </c>
      <c r="BQ99">
        <v>3</v>
      </c>
      <c r="BR99">
        <v>3</v>
      </c>
      <c r="BS99">
        <v>1</v>
      </c>
      <c r="BT99">
        <v>2</v>
      </c>
      <c r="BU99">
        <v>4</v>
      </c>
      <c r="BV99">
        <v>5</v>
      </c>
      <c r="BW99">
        <v>2</v>
      </c>
      <c r="BX99">
        <v>2</v>
      </c>
      <c r="BY99">
        <v>3</v>
      </c>
      <c r="BZ99">
        <v>1</v>
      </c>
      <c r="CA99">
        <v>5</v>
      </c>
      <c r="CB99">
        <v>1</v>
      </c>
      <c r="CC99">
        <v>3</v>
      </c>
      <c r="CD99">
        <v>1</v>
      </c>
      <c r="CE99">
        <v>1</v>
      </c>
      <c r="CF99">
        <v>3</v>
      </c>
      <c r="CG99">
        <v>1</v>
      </c>
      <c r="CH99">
        <v>2</v>
      </c>
      <c r="CI99">
        <v>5</v>
      </c>
      <c r="CJ99">
        <v>2</v>
      </c>
      <c r="CK99">
        <v>5</v>
      </c>
      <c r="CL99">
        <v>3</v>
      </c>
      <c r="CM99">
        <v>1</v>
      </c>
      <c r="CN99" s="100" t="s">
        <v>223</v>
      </c>
      <c r="CO99">
        <v>1</v>
      </c>
      <c r="CP99">
        <v>6</v>
      </c>
      <c r="CQ99">
        <v>5</v>
      </c>
      <c r="CR99">
        <v>2</v>
      </c>
      <c r="CS99">
        <v>1</v>
      </c>
      <c r="CT99">
        <v>3</v>
      </c>
      <c r="CU99">
        <v>3</v>
      </c>
      <c r="CV99">
        <v>3</v>
      </c>
      <c r="CW99">
        <v>3</v>
      </c>
      <c r="CX99" s="100" t="s">
        <v>237</v>
      </c>
      <c r="CY99">
        <v>4</v>
      </c>
      <c r="CZ99">
        <v>1</v>
      </c>
      <c r="DA99">
        <v>3</v>
      </c>
      <c r="DB99">
        <v>2</v>
      </c>
      <c r="DC99">
        <v>4</v>
      </c>
      <c r="DD99">
        <v>3</v>
      </c>
      <c r="DE99">
        <v>4</v>
      </c>
      <c r="DF99">
        <v>5</v>
      </c>
      <c r="DG99">
        <v>2</v>
      </c>
      <c r="DH99" s="100" t="s">
        <v>223</v>
      </c>
      <c r="DI99" s="100" t="s">
        <v>223</v>
      </c>
      <c r="DJ99"/>
      <c r="DK99"/>
      <c r="DL99"/>
      <c r="DM99"/>
      <c r="DN99"/>
      <c r="DO99"/>
      <c r="DP99"/>
      <c r="DQ99"/>
      <c r="DR99"/>
      <c r="DS99"/>
      <c r="DT99"/>
      <c r="DU99"/>
      <c r="DV99"/>
      <c r="DW99"/>
      <c r="DX99"/>
      <c r="DY99"/>
      <c r="DZ99"/>
      <c r="EA99"/>
      <c r="EB99"/>
      <c r="EC99"/>
      <c r="ED99"/>
    </row>
    <row r="100" spans="1:145" s="27" customFormat="1" ht="14">
      <c r="A100" s="84">
        <v>43857.521944444445</v>
      </c>
      <c r="B100" s="27" t="str">
        <f ca="1">IFERROR(__xludf.DUMMYFUNCTION("""COMPUTED_VALUE"""),"D00250")</f>
        <v>D00250</v>
      </c>
      <c r="C100" s="86">
        <f t="shared" si="4"/>
        <v>99</v>
      </c>
      <c r="D100" s="27" t="s">
        <v>139</v>
      </c>
      <c r="E100" s="27" t="s">
        <v>19</v>
      </c>
      <c r="F100" s="27">
        <v>10</v>
      </c>
      <c r="G100" s="27">
        <f ca="1">IFERROR(__xludf.DUMMYFUNCTION("""COMPUTED_VALUE"""),23.1)</f>
        <v>23.1</v>
      </c>
      <c r="H100" s="27">
        <f ca="1">IFERROR(__xludf.DUMMYFUNCTION("""COMPUTED_VALUE"""),38.5)</f>
        <v>38.5</v>
      </c>
      <c r="I100" s="27">
        <v>1084</v>
      </c>
      <c r="J100" s="27">
        <v>0.7</v>
      </c>
      <c r="K100" s="27">
        <v>134</v>
      </c>
      <c r="L100" s="27">
        <v>0.65999999999999992</v>
      </c>
      <c r="M100" s="27">
        <v>21.4548918321588</v>
      </c>
      <c r="N100" s="27">
        <v>0.05</v>
      </c>
      <c r="O100" s="27">
        <v>40.1</v>
      </c>
      <c r="P100" s="27">
        <v>0</v>
      </c>
      <c r="R100" s="27">
        <f ca="1">IFERROR(__xludf.DUMMYFUNCTION("""COMPUTED_VALUE"""),680)</f>
        <v>680</v>
      </c>
      <c r="S100" s="27">
        <f ca="1">IFERROR(__xludf.DUMMYFUNCTION("""COMPUTED_VALUE"""),1140)</f>
        <v>1140</v>
      </c>
      <c r="T100" s="27">
        <f ca="1">IFERROR(__xludf.DUMMYFUNCTION("""COMPUTED_VALUE"""),355)</f>
        <v>355</v>
      </c>
      <c r="V100" s="27">
        <f t="shared" ca="1" si="5"/>
        <v>910</v>
      </c>
      <c r="AD100" s="27">
        <v>4</v>
      </c>
      <c r="AF100" t="str">
        <f ca="1">IFERROR(__xludf.DUMMYFUNCTION("""COMPUTED_VALUE"""),"Semi private (2-5 desks)")</f>
        <v>Semi private (2-5 desks)</v>
      </c>
      <c r="AG100" t="str">
        <f ca="1">IFERROR(__xludf.DUMMYFUNCTION("""COMPUTED_VALUE"""),"No")</f>
        <v>No</v>
      </c>
      <c r="AH100" t="str">
        <f ca="1">IFERROR(__xludf.DUMMYFUNCTION("""COMPUTED_VALUE"""),"Yes")</f>
        <v>Yes</v>
      </c>
      <c r="AI100" t="str">
        <f ca="1">IFERROR(__xludf.DUMMYFUNCTION("""COMPUTED_VALUE"""),"Yes")</f>
        <v>Yes</v>
      </c>
      <c r="AJ100" t="str">
        <f ca="1">IFERROR(__xludf.DUMMYFUNCTION("""COMPUTED_VALUE"""),"No")</f>
        <v>No</v>
      </c>
      <c r="AK100">
        <v>0</v>
      </c>
      <c r="AL100"/>
      <c r="AM100" t="str">
        <f ca="1">IFERROR(__xludf.DUMMYFUNCTION("""COMPUTED_VALUE"""),"Laminate")</f>
        <v>Laminate</v>
      </c>
      <c r="AN100" t="str">
        <f ca="1">IFERROR(__xludf.DUMMYFUNCTION("""COMPUTED_VALUE"""),"White")</f>
        <v>White</v>
      </c>
      <c r="AO100" t="str">
        <f ca="1">IFERROR(__xludf.DUMMYFUNCTION("""COMPUTED_VALUE"""),"Office chair")</f>
        <v>Office chair</v>
      </c>
      <c r="AP100" t="str">
        <f ca="1">IFERROR(__xludf.DUMMYFUNCTION("""COMPUTED_VALUE"""),"Cloth")</f>
        <v>Cloth</v>
      </c>
      <c r="AQ100" t="str">
        <f ca="1">IFERROR(__xludf.DUMMYFUNCTION("""COMPUTED_VALUE"""),"Carpet")</f>
        <v>Carpet</v>
      </c>
      <c r="AR100" t="str">
        <f ca="1">IFERROR(__xludf.DUMMYFUNCTION("""COMPUTED_VALUE"""),"Grey")</f>
        <v>Grey</v>
      </c>
      <c r="AS100" t="str">
        <f ca="1">IFERROR(__xludf.DUMMYFUNCTION("""COMPUTED_VALUE"""),"Cream")</f>
        <v>Cream</v>
      </c>
      <c r="AT100" t="str">
        <f ca="1">IFERROR(__xludf.DUMMYFUNCTION("""COMPUTED_VALUE"""),"Wood and white")</f>
        <v>Wood and white</v>
      </c>
      <c r="AU100" t="str">
        <f ca="1">IFERROR(__xludf.DUMMYFUNCTION("""COMPUTED_VALUE"""),"NA")</f>
        <v>NA</v>
      </c>
      <c r="AV100" t="str">
        <f ca="1">IFERROR(__xludf.DUMMYFUNCTION("""COMPUTED_VALUE"""),"Yes")</f>
        <v>Yes</v>
      </c>
      <c r="AW100">
        <f ca="1">IFERROR(__xludf.DUMMYFUNCTION("""COMPUTED_VALUE"""),680)</f>
        <v>680</v>
      </c>
      <c r="AX100">
        <f ca="1">IFERROR(__xludf.DUMMYFUNCTION("""COMPUTED_VALUE"""),1140)</f>
        <v>1140</v>
      </c>
      <c r="AY100">
        <f ca="1">IFERROR(__xludf.DUMMYFUNCTION("""COMPUTED_VALUE"""),355)</f>
        <v>355</v>
      </c>
      <c r="AZ100" t="str">
        <f ca="1">IFERROR(__xludf.DUMMYFUNCTION("""COMPUTED_VALUE"""),"No")</f>
        <v>No</v>
      </c>
      <c r="BA100">
        <f ca="1">IFERROR(__xludf.DUMMYFUNCTION("""COMPUTED_VALUE"""),3.5)</f>
        <v>3.5</v>
      </c>
      <c r="BB100" t="str">
        <f ca="1">IFERROR(__xludf.DUMMYFUNCTION("""COMPUTED_VALUE"""),"NA")</f>
        <v>NA</v>
      </c>
      <c r="BC100" t="str">
        <f ca="1">IFERROR(__xludf.DUMMYFUNCTION("""COMPUTED_VALUE"""),"No")</f>
        <v>No</v>
      </c>
      <c r="BD100">
        <f ca="1">IFERROR(__xludf.DUMMYFUNCTION("""COMPUTED_VALUE"""),1.4)</f>
        <v>1.4</v>
      </c>
      <c r="BE100" t="str">
        <f ca="1">IFERROR(__xludf.DUMMYFUNCTION("""COMPUTED_VALUE"""),"NA")</f>
        <v>NA</v>
      </c>
      <c r="BF100" t="str">
        <f ca="1">IFERROR(__xludf.DUMMYFUNCTION("""COMPUTED_VALUE"""),"NA")</f>
        <v>NA</v>
      </c>
      <c r="BG100" t="str">
        <f ca="1">IFERROR(__xludf.DUMMYFUNCTION("""COMPUTED_VALUE"""),"NA")</f>
        <v>NA</v>
      </c>
      <c r="BH100">
        <f ca="1">IFERROR(__xludf.DUMMYFUNCTION("""COMPUTED_VALUE"""),1.52)</f>
        <v>1.52</v>
      </c>
      <c r="BI100">
        <f ca="1">IFERROR(__xludf.DUMMYFUNCTION("""COMPUTED_VALUE"""),0.6)</f>
        <v>0.6</v>
      </c>
      <c r="BJ100">
        <f ca="1">IFERROR(__xludf.DUMMYFUNCTION("""COMPUTED_VALUE"""),0.74)</f>
        <v>0.74</v>
      </c>
      <c r="BK100" t="str">
        <f ca="1">IFERROR(__xludf.DUMMYFUNCTION("""COMPUTED_VALUE"""),"NA")</f>
        <v>NA</v>
      </c>
      <c r="BL100">
        <v>2</v>
      </c>
      <c r="BM100">
        <v>4</v>
      </c>
      <c r="BN100">
        <v>4</v>
      </c>
      <c r="BO100">
        <v>3</v>
      </c>
      <c r="BP100">
        <v>3</v>
      </c>
      <c r="BQ100">
        <v>6</v>
      </c>
      <c r="BR100">
        <v>4</v>
      </c>
      <c r="BS100">
        <v>3</v>
      </c>
      <c r="BT100">
        <v>2</v>
      </c>
      <c r="BU100">
        <v>3</v>
      </c>
      <c r="BV100">
        <v>1</v>
      </c>
      <c r="BW100">
        <v>6</v>
      </c>
      <c r="BX100">
        <v>1</v>
      </c>
      <c r="BY100">
        <v>3</v>
      </c>
      <c r="BZ100">
        <v>3</v>
      </c>
      <c r="CA100">
        <v>6</v>
      </c>
      <c r="CB100">
        <v>6</v>
      </c>
      <c r="CC100">
        <v>5</v>
      </c>
      <c r="CD100">
        <v>1</v>
      </c>
      <c r="CE100">
        <v>1</v>
      </c>
      <c r="CF100">
        <v>3</v>
      </c>
      <c r="CG100">
        <v>2</v>
      </c>
      <c r="CH100">
        <v>3</v>
      </c>
      <c r="CI100">
        <v>3</v>
      </c>
      <c r="CJ100">
        <v>6</v>
      </c>
      <c r="CK100">
        <v>4</v>
      </c>
      <c r="CL100">
        <v>3</v>
      </c>
      <c r="CM100">
        <v>3</v>
      </c>
      <c r="CN100" s="100" t="s">
        <v>223</v>
      </c>
      <c r="CO100">
        <v>1</v>
      </c>
      <c r="CP100">
        <v>6</v>
      </c>
      <c r="CQ100">
        <v>3</v>
      </c>
      <c r="CR100">
        <v>1</v>
      </c>
      <c r="CS100">
        <v>2</v>
      </c>
      <c r="CT100">
        <v>6</v>
      </c>
      <c r="CU100">
        <v>2</v>
      </c>
      <c r="CV100">
        <v>3</v>
      </c>
      <c r="CW100">
        <v>3</v>
      </c>
      <c r="CX100" s="100" t="s">
        <v>231</v>
      </c>
      <c r="CY100">
        <v>3</v>
      </c>
      <c r="CZ100">
        <v>1</v>
      </c>
      <c r="DA100">
        <v>1</v>
      </c>
      <c r="DB100">
        <v>1</v>
      </c>
      <c r="DC100">
        <v>1</v>
      </c>
      <c r="DD100">
        <v>3</v>
      </c>
      <c r="DE100">
        <v>5</v>
      </c>
      <c r="DF100">
        <v>3</v>
      </c>
      <c r="DG100">
        <v>4</v>
      </c>
      <c r="DH100" s="100" t="s">
        <v>223</v>
      </c>
      <c r="DI100" s="100" t="s">
        <v>223</v>
      </c>
      <c r="DJ100"/>
      <c r="DK100"/>
      <c r="DL100"/>
      <c r="DM100"/>
      <c r="DN100"/>
      <c r="DO100"/>
      <c r="DP100"/>
      <c r="DQ100"/>
      <c r="DR100"/>
      <c r="DS100"/>
      <c r="DT100"/>
      <c r="DU100"/>
      <c r="DV100"/>
      <c r="DW100"/>
      <c r="DX100"/>
      <c r="DY100"/>
      <c r="DZ100"/>
      <c r="EA100"/>
      <c r="EB100"/>
      <c r="EC100"/>
      <c r="ED100"/>
    </row>
    <row r="101" spans="1:145" s="27" customFormat="1" ht="14">
      <c r="A101" s="84">
        <v>43857.525243055556</v>
      </c>
      <c r="B101" s="27" t="str">
        <f ca="1">IFERROR(__xludf.DUMMYFUNCTION("""COMPUTED_VALUE"""),"E00235")</f>
        <v>E00235</v>
      </c>
      <c r="C101" s="86">
        <f t="shared" si="4"/>
        <v>100</v>
      </c>
      <c r="D101" s="27" t="s">
        <v>139</v>
      </c>
      <c r="E101" s="27" t="s">
        <v>19</v>
      </c>
      <c r="F101" s="27">
        <v>10</v>
      </c>
      <c r="G101" s="27">
        <f ca="1">IFERROR(__xludf.DUMMYFUNCTION("""COMPUTED_VALUE"""),23.5)</f>
        <v>23.5</v>
      </c>
      <c r="H101" s="27">
        <f ca="1">IFERROR(__xludf.DUMMYFUNCTION("""COMPUTED_VALUE"""),38.3)</f>
        <v>38.299999999999997</v>
      </c>
      <c r="I101" s="27">
        <v>961</v>
      </c>
      <c r="J101" s="27">
        <v>0.6</v>
      </c>
      <c r="K101" s="27">
        <v>129</v>
      </c>
      <c r="L101" s="27">
        <v>0.8</v>
      </c>
      <c r="M101" s="27">
        <v>22.271780493719401</v>
      </c>
      <c r="N101" s="27">
        <v>0</v>
      </c>
      <c r="O101" s="27">
        <v>40.1</v>
      </c>
      <c r="P101" s="27">
        <v>0</v>
      </c>
      <c r="R101" s="27">
        <f ca="1">IFERROR(__xludf.DUMMYFUNCTION("""COMPUTED_VALUE"""),180)</f>
        <v>180</v>
      </c>
      <c r="S101" s="27">
        <f ca="1">IFERROR(__xludf.DUMMYFUNCTION("""COMPUTED_VALUE"""),200)</f>
        <v>200</v>
      </c>
      <c r="T101" s="27">
        <f ca="1">IFERROR(__xludf.DUMMYFUNCTION("""COMPUTED_VALUE"""),180)</f>
        <v>180</v>
      </c>
      <c r="V101" s="27">
        <f t="shared" ca="1" si="5"/>
        <v>190</v>
      </c>
      <c r="AD101" s="27">
        <v>6</v>
      </c>
      <c r="AF101" t="str">
        <f ca="1">IFERROR(__xludf.DUMMYFUNCTION("""COMPUTED_VALUE"""),"Semi private (2-5 desks)")</f>
        <v>Semi private (2-5 desks)</v>
      </c>
      <c r="AG101" t="str">
        <f ca="1">IFERROR(__xludf.DUMMYFUNCTION("""COMPUTED_VALUE"""),"No")</f>
        <v>No</v>
      </c>
      <c r="AH101" t="str">
        <f ca="1">IFERROR(__xludf.DUMMYFUNCTION("""COMPUTED_VALUE"""),"Yes")</f>
        <v>Yes</v>
      </c>
      <c r="AI101" t="str">
        <f ca="1">IFERROR(__xludf.DUMMYFUNCTION("""COMPUTED_VALUE"""),"Yes")</f>
        <v>Yes</v>
      </c>
      <c r="AJ101" t="str">
        <f ca="1">IFERROR(__xludf.DUMMYFUNCTION("""COMPUTED_VALUE"""),"No")</f>
        <v>No</v>
      </c>
      <c r="AK101">
        <v>0</v>
      </c>
      <c r="AL101"/>
      <c r="AM101" t="str">
        <f ca="1">IFERROR(__xludf.DUMMYFUNCTION("""COMPUTED_VALUE"""),"Laminate")</f>
        <v>Laminate</v>
      </c>
      <c r="AN101" t="str">
        <f ca="1">IFERROR(__xludf.DUMMYFUNCTION("""COMPUTED_VALUE"""),"White")</f>
        <v>White</v>
      </c>
      <c r="AO101" t="str">
        <f ca="1">IFERROR(__xludf.DUMMYFUNCTION("""COMPUTED_VALUE"""),"Office chair")</f>
        <v>Office chair</v>
      </c>
      <c r="AP101" t="str">
        <f ca="1">IFERROR(__xludf.DUMMYFUNCTION("""COMPUTED_VALUE"""),"Cloth")</f>
        <v>Cloth</v>
      </c>
      <c r="AQ101" t="str">
        <f ca="1">IFERROR(__xludf.DUMMYFUNCTION("""COMPUTED_VALUE"""),"Carpet")</f>
        <v>Carpet</v>
      </c>
      <c r="AR101" t="str">
        <f ca="1">IFERROR(__xludf.DUMMYFUNCTION("""COMPUTED_VALUE"""),"Grey")</f>
        <v>Grey</v>
      </c>
      <c r="AS101" t="str">
        <f ca="1">IFERROR(__xludf.DUMMYFUNCTION("""COMPUTED_VALUE"""),"Cream")</f>
        <v>Cream</v>
      </c>
      <c r="AT101" t="str">
        <f ca="1">IFERROR(__xludf.DUMMYFUNCTION("""COMPUTED_VALUE"""),"Wood and white")</f>
        <v>Wood and white</v>
      </c>
      <c r="AU101" t="str">
        <f ca="1">IFERROR(__xludf.DUMMYFUNCTION("""COMPUTED_VALUE"""),"NA")</f>
        <v>NA</v>
      </c>
      <c r="AV101" t="str">
        <f ca="1">IFERROR(__xludf.DUMMYFUNCTION("""COMPUTED_VALUE"""),"No")</f>
        <v>No</v>
      </c>
      <c r="AW101">
        <f ca="1">IFERROR(__xludf.DUMMYFUNCTION("""COMPUTED_VALUE"""),180)</f>
        <v>180</v>
      </c>
      <c r="AX101">
        <f ca="1">IFERROR(__xludf.DUMMYFUNCTION("""COMPUTED_VALUE"""),200)</f>
        <v>200</v>
      </c>
      <c r="AY101">
        <f ca="1">IFERROR(__xludf.DUMMYFUNCTION("""COMPUTED_VALUE"""),180)</f>
        <v>180</v>
      </c>
      <c r="AZ101" t="str">
        <f ca="1">IFERROR(__xludf.DUMMYFUNCTION("""COMPUTED_VALUE"""),"No")</f>
        <v>No</v>
      </c>
      <c r="BA101">
        <f ca="1">IFERROR(__xludf.DUMMYFUNCTION("""COMPUTED_VALUE"""),3.5)</f>
        <v>3.5</v>
      </c>
      <c r="BB101" t="str">
        <f ca="1">IFERROR(__xludf.DUMMYFUNCTION("""COMPUTED_VALUE"""),"NA")</f>
        <v>NA</v>
      </c>
      <c r="BC101" t="str">
        <f ca="1">IFERROR(__xludf.DUMMYFUNCTION("""COMPUTED_VALUE"""),"No")</f>
        <v>No</v>
      </c>
      <c r="BD101">
        <f ca="1">IFERROR(__xludf.DUMMYFUNCTION("""COMPUTED_VALUE"""),3.7)</f>
        <v>3.7</v>
      </c>
      <c r="BE101" t="str">
        <f ca="1">IFERROR(__xludf.DUMMYFUNCTION("""COMPUTED_VALUE"""),"NA")</f>
        <v>NA</v>
      </c>
      <c r="BF101" t="str">
        <f ca="1">IFERROR(__xludf.DUMMYFUNCTION("""COMPUTED_VALUE"""),"NA")</f>
        <v>NA</v>
      </c>
      <c r="BG101" t="str">
        <f ca="1">IFERROR(__xludf.DUMMYFUNCTION("""COMPUTED_VALUE"""),"NA")</f>
        <v>NA</v>
      </c>
      <c r="BH101">
        <f ca="1">IFERROR(__xludf.DUMMYFUNCTION("""COMPUTED_VALUE"""),1.52)</f>
        <v>1.52</v>
      </c>
      <c r="BI101">
        <f ca="1">IFERROR(__xludf.DUMMYFUNCTION("""COMPUTED_VALUE"""),0.6)</f>
        <v>0.6</v>
      </c>
      <c r="BJ101">
        <f ca="1">IFERROR(__xludf.DUMMYFUNCTION("""COMPUTED_VALUE"""),0.71)</f>
        <v>0.71</v>
      </c>
      <c r="BK101" t="str">
        <f ca="1">IFERROR(__xludf.DUMMYFUNCTION("""COMPUTED_VALUE"""),"NA")</f>
        <v>NA</v>
      </c>
      <c r="BL101">
        <v>2</v>
      </c>
      <c r="BM101">
        <v>3</v>
      </c>
      <c r="BN101">
        <v>4</v>
      </c>
      <c r="BO101">
        <v>2</v>
      </c>
      <c r="BP101">
        <v>2</v>
      </c>
      <c r="BQ101">
        <v>5</v>
      </c>
      <c r="BR101">
        <v>6</v>
      </c>
      <c r="BS101">
        <v>2</v>
      </c>
      <c r="BT101">
        <v>1</v>
      </c>
      <c r="BU101">
        <v>6</v>
      </c>
      <c r="BV101">
        <v>5</v>
      </c>
      <c r="BW101">
        <v>6</v>
      </c>
      <c r="BX101">
        <v>3</v>
      </c>
      <c r="BY101">
        <v>2</v>
      </c>
      <c r="BZ101">
        <v>2</v>
      </c>
      <c r="CA101">
        <v>7</v>
      </c>
      <c r="CB101">
        <v>6</v>
      </c>
      <c r="CC101">
        <v>6</v>
      </c>
      <c r="CD101">
        <v>1</v>
      </c>
      <c r="CE101">
        <v>1</v>
      </c>
      <c r="CF101">
        <v>4</v>
      </c>
      <c r="CG101">
        <v>1</v>
      </c>
      <c r="CH101">
        <v>2</v>
      </c>
      <c r="CI101">
        <v>5</v>
      </c>
      <c r="CJ101">
        <v>4</v>
      </c>
      <c r="CK101">
        <v>4</v>
      </c>
      <c r="CL101">
        <v>4</v>
      </c>
      <c r="CM101">
        <v>1</v>
      </c>
      <c r="CN101" s="100" t="s">
        <v>223</v>
      </c>
      <c r="CO101">
        <v>1</v>
      </c>
      <c r="CP101">
        <v>3</v>
      </c>
      <c r="CQ101">
        <v>4</v>
      </c>
      <c r="CR101">
        <v>2</v>
      </c>
      <c r="CS101">
        <v>2</v>
      </c>
      <c r="CT101">
        <v>5</v>
      </c>
      <c r="CU101">
        <v>5</v>
      </c>
      <c r="CV101">
        <v>2</v>
      </c>
      <c r="CW101">
        <v>3</v>
      </c>
      <c r="CX101" s="100" t="s">
        <v>235</v>
      </c>
      <c r="CY101">
        <v>6</v>
      </c>
      <c r="CZ101">
        <v>1</v>
      </c>
      <c r="DA101">
        <v>3</v>
      </c>
      <c r="DB101">
        <v>1</v>
      </c>
      <c r="DC101">
        <v>3</v>
      </c>
      <c r="DD101">
        <v>3</v>
      </c>
      <c r="DE101">
        <v>6</v>
      </c>
      <c r="DF101">
        <v>5</v>
      </c>
      <c r="DG101">
        <v>2</v>
      </c>
      <c r="DH101" s="100" t="s">
        <v>223</v>
      </c>
      <c r="DI101" s="100" t="s">
        <v>223</v>
      </c>
      <c r="DJ101"/>
      <c r="DK101"/>
      <c r="DL101"/>
      <c r="DM101"/>
      <c r="DN101"/>
      <c r="DO101"/>
      <c r="DP101"/>
      <c r="DQ101"/>
      <c r="DR101"/>
      <c r="DS101"/>
      <c r="DT101"/>
      <c r="DU101"/>
      <c r="DV101"/>
      <c r="DW101"/>
      <c r="DX101"/>
      <c r="DY101"/>
      <c r="DZ101"/>
      <c r="EA101"/>
      <c r="EB101"/>
      <c r="EC101"/>
      <c r="ED101"/>
    </row>
    <row r="102" spans="1:145" s="27" customFormat="1" ht="14">
      <c r="A102" s="84">
        <v>43857.537037037036</v>
      </c>
      <c r="B102" s="27" t="str">
        <f ca="1">IFERROR(__xludf.DUMMYFUNCTION("""COMPUTED_VALUE"""),"E00145")</f>
        <v>E00145</v>
      </c>
      <c r="C102" s="86">
        <f t="shared" si="4"/>
        <v>101</v>
      </c>
      <c r="D102" s="27" t="s">
        <v>139</v>
      </c>
      <c r="E102" s="27" t="s">
        <v>19</v>
      </c>
      <c r="F102" s="27">
        <v>10</v>
      </c>
      <c r="G102" s="27">
        <f ca="1">IFERROR(__xludf.DUMMYFUNCTION("""COMPUTED_VALUE"""),22.8)</f>
        <v>22.8</v>
      </c>
      <c r="H102" s="27">
        <f ca="1">IFERROR(__xludf.DUMMYFUNCTION("""COMPUTED_VALUE"""),37)</f>
        <v>37</v>
      </c>
      <c r="I102" s="27">
        <v>821</v>
      </c>
      <c r="J102" s="27">
        <v>0.6</v>
      </c>
      <c r="K102" s="27">
        <v>124</v>
      </c>
      <c r="L102" s="27">
        <v>0.5</v>
      </c>
      <c r="M102" s="27">
        <v>20.995350038148398</v>
      </c>
      <c r="N102" s="27">
        <v>0.02</v>
      </c>
      <c r="O102" s="27">
        <v>50</v>
      </c>
      <c r="P102" s="27">
        <v>0</v>
      </c>
      <c r="R102" s="27">
        <f ca="1">IFERROR(__xludf.DUMMYFUNCTION("""COMPUTED_VALUE"""),590)</f>
        <v>590</v>
      </c>
      <c r="S102" s="27">
        <f ca="1">IFERROR(__xludf.DUMMYFUNCTION("""COMPUTED_VALUE"""),1083)</f>
        <v>1083</v>
      </c>
      <c r="T102" s="27">
        <f ca="1">IFERROR(__xludf.DUMMYFUNCTION("""COMPUTED_VALUE"""),495)</f>
        <v>495</v>
      </c>
      <c r="V102" s="27">
        <f t="shared" ca="1" si="5"/>
        <v>836.5</v>
      </c>
      <c r="AD102" s="27">
        <v>6</v>
      </c>
      <c r="AF102" t="str">
        <f ca="1">IFERROR(__xludf.DUMMYFUNCTION("""COMPUTED_VALUE"""),"Semi private (2-5 desks)")</f>
        <v>Semi private (2-5 desks)</v>
      </c>
      <c r="AG102" t="str">
        <f ca="1">IFERROR(__xludf.DUMMYFUNCTION("""COMPUTED_VALUE"""),"No")</f>
        <v>No</v>
      </c>
      <c r="AH102" t="str">
        <f ca="1">IFERROR(__xludf.DUMMYFUNCTION("""COMPUTED_VALUE"""),"Yes")</f>
        <v>Yes</v>
      </c>
      <c r="AI102" t="str">
        <f ca="1">IFERROR(__xludf.DUMMYFUNCTION("""COMPUTED_VALUE"""),"Yes")</f>
        <v>Yes</v>
      </c>
      <c r="AJ102" t="str">
        <f ca="1">IFERROR(__xludf.DUMMYFUNCTION("""COMPUTED_VALUE"""),"No")</f>
        <v>No</v>
      </c>
      <c r="AK102">
        <v>0</v>
      </c>
      <c r="AL102"/>
      <c r="AM102" t="str">
        <f ca="1">IFERROR(__xludf.DUMMYFUNCTION("""COMPUTED_VALUE"""),"laminate")</f>
        <v>laminate</v>
      </c>
      <c r="AN102" t="str">
        <f ca="1">IFERROR(__xludf.DUMMYFUNCTION("""COMPUTED_VALUE"""),"white")</f>
        <v>white</v>
      </c>
      <c r="AO102" t="str">
        <f ca="1">IFERROR(__xludf.DUMMYFUNCTION("""COMPUTED_VALUE"""),"Office chair")</f>
        <v>Office chair</v>
      </c>
      <c r="AP102" t="str">
        <f ca="1">IFERROR(__xludf.DUMMYFUNCTION("""COMPUTED_VALUE"""),"cloth")</f>
        <v>cloth</v>
      </c>
      <c r="AQ102" t="str">
        <f ca="1">IFERROR(__xludf.DUMMYFUNCTION("""COMPUTED_VALUE"""),"Carpet")</f>
        <v>Carpet</v>
      </c>
      <c r="AR102" t="str">
        <f ca="1">IFERROR(__xludf.DUMMYFUNCTION("""COMPUTED_VALUE"""),"Grey")</f>
        <v>Grey</v>
      </c>
      <c r="AS102" t="str">
        <f ca="1">IFERROR(__xludf.DUMMYFUNCTION("""COMPUTED_VALUE"""),"Cream")</f>
        <v>Cream</v>
      </c>
      <c r="AT102" t="str">
        <f ca="1">IFERROR(__xludf.DUMMYFUNCTION("""COMPUTED_VALUE"""),"Wood")</f>
        <v>Wood</v>
      </c>
      <c r="AU102" t="str">
        <f ca="1">IFERROR(__xludf.DUMMYFUNCTION("""COMPUTED_VALUE"""),"NA")</f>
        <v>NA</v>
      </c>
      <c r="AV102" t="str">
        <f ca="1">IFERROR(__xludf.DUMMYFUNCTION("""COMPUTED_VALUE"""),"Yes")</f>
        <v>Yes</v>
      </c>
      <c r="AW102">
        <f ca="1">IFERROR(__xludf.DUMMYFUNCTION("""COMPUTED_VALUE"""),590)</f>
        <v>590</v>
      </c>
      <c r="AX102">
        <f ca="1">IFERROR(__xludf.DUMMYFUNCTION("""COMPUTED_VALUE"""),1083)</f>
        <v>1083</v>
      </c>
      <c r="AY102">
        <f ca="1">IFERROR(__xludf.DUMMYFUNCTION("""COMPUTED_VALUE"""),495)</f>
        <v>495</v>
      </c>
      <c r="AZ102" t="str">
        <f ca="1">IFERROR(__xludf.DUMMYFUNCTION("""COMPUTED_VALUE"""),"Yes")</f>
        <v>Yes</v>
      </c>
      <c r="BA102">
        <f ca="1">IFERROR(__xludf.DUMMYFUNCTION("""COMPUTED_VALUE"""),3.7)</f>
        <v>3.7</v>
      </c>
      <c r="BB102" t="str">
        <f ca="1">IFERROR(__xludf.DUMMYFUNCTION("""COMPUTED_VALUE"""),"na")</f>
        <v>na</v>
      </c>
      <c r="BC102" t="str">
        <f ca="1">IFERROR(__xludf.DUMMYFUNCTION("""COMPUTED_VALUE"""),"No")</f>
        <v>No</v>
      </c>
      <c r="BD102">
        <f ca="1">IFERROR(__xludf.DUMMYFUNCTION("""COMPUTED_VALUE"""),1.1)</f>
        <v>1.1000000000000001</v>
      </c>
      <c r="BE102" t="str">
        <f ca="1">IFERROR(__xludf.DUMMYFUNCTION("""COMPUTED_VALUE"""),"NW")</f>
        <v>NW</v>
      </c>
      <c r="BF102" t="str">
        <f ca="1">IFERROR(__xludf.DUMMYFUNCTION("""COMPUTED_VALUE"""),"NA")</f>
        <v>NA</v>
      </c>
      <c r="BG102" t="str">
        <f ca="1">IFERROR(__xludf.DUMMYFUNCTION("""COMPUTED_VALUE"""),"NA")</f>
        <v>NA</v>
      </c>
      <c r="BH102">
        <f ca="1">IFERROR(__xludf.DUMMYFUNCTION("""COMPUTED_VALUE"""),1.52)</f>
        <v>1.52</v>
      </c>
      <c r="BI102">
        <f ca="1">IFERROR(__xludf.DUMMYFUNCTION("""COMPUTED_VALUE"""),0.8)</f>
        <v>0.8</v>
      </c>
      <c r="BJ102">
        <f ca="1">IFERROR(__xludf.DUMMYFUNCTION("""COMPUTED_VALUE"""),0.74)</f>
        <v>0.74</v>
      </c>
      <c r="BK102" t="str">
        <f ca="1">IFERROR(__xludf.DUMMYFUNCTION("""COMPUTED_VALUE"""),"NA")</f>
        <v>NA</v>
      </c>
      <c r="BL102">
        <v>1</v>
      </c>
      <c r="BM102">
        <v>4</v>
      </c>
      <c r="BN102">
        <v>4</v>
      </c>
      <c r="BO102">
        <v>3</v>
      </c>
      <c r="BP102">
        <v>2</v>
      </c>
      <c r="BQ102">
        <v>4</v>
      </c>
      <c r="BR102">
        <v>6</v>
      </c>
      <c r="BS102">
        <v>2</v>
      </c>
      <c r="BT102">
        <v>1</v>
      </c>
      <c r="BU102">
        <v>6</v>
      </c>
      <c r="BV102">
        <v>6</v>
      </c>
      <c r="BW102">
        <v>6</v>
      </c>
      <c r="BX102">
        <v>4</v>
      </c>
      <c r="BY102">
        <v>2</v>
      </c>
      <c r="BZ102">
        <v>2</v>
      </c>
      <c r="CA102">
        <v>6</v>
      </c>
      <c r="CB102">
        <v>4</v>
      </c>
      <c r="CC102">
        <v>6</v>
      </c>
      <c r="CD102">
        <v>2</v>
      </c>
      <c r="CE102">
        <v>1</v>
      </c>
      <c r="CF102">
        <v>6</v>
      </c>
      <c r="CG102">
        <v>1</v>
      </c>
      <c r="CH102">
        <v>2</v>
      </c>
      <c r="CI102">
        <v>6</v>
      </c>
      <c r="CJ102">
        <v>6</v>
      </c>
      <c r="CK102">
        <v>4</v>
      </c>
      <c r="CL102">
        <v>6</v>
      </c>
      <c r="CM102">
        <v>1</v>
      </c>
      <c r="CN102" s="100" t="s">
        <v>223</v>
      </c>
      <c r="CO102">
        <v>1</v>
      </c>
      <c r="CP102">
        <v>6</v>
      </c>
      <c r="CQ102">
        <v>6</v>
      </c>
      <c r="CR102">
        <v>1</v>
      </c>
      <c r="CS102">
        <v>1</v>
      </c>
      <c r="CT102">
        <v>3</v>
      </c>
      <c r="CU102">
        <v>6</v>
      </c>
      <c r="CV102">
        <v>2</v>
      </c>
      <c r="CW102">
        <v>1</v>
      </c>
      <c r="CX102" s="100" t="s">
        <v>15</v>
      </c>
      <c r="CY102">
        <v>6</v>
      </c>
      <c r="CZ102">
        <v>1</v>
      </c>
      <c r="DA102">
        <v>3</v>
      </c>
      <c r="DB102">
        <v>1</v>
      </c>
      <c r="DC102">
        <v>6</v>
      </c>
      <c r="DD102">
        <v>3</v>
      </c>
      <c r="DE102">
        <v>6</v>
      </c>
      <c r="DF102">
        <v>6</v>
      </c>
      <c r="DG102">
        <v>5</v>
      </c>
      <c r="DH102" s="100" t="s">
        <v>223</v>
      </c>
      <c r="DI102" s="100" t="s">
        <v>223</v>
      </c>
      <c r="DJ102"/>
      <c r="DK102"/>
      <c r="DL102"/>
      <c r="DM102"/>
      <c r="DN102"/>
      <c r="DO102"/>
      <c r="DP102"/>
      <c r="DQ102"/>
      <c r="DR102"/>
      <c r="DS102"/>
      <c r="DT102"/>
      <c r="DU102"/>
      <c r="DV102"/>
      <c r="DW102"/>
      <c r="DX102"/>
      <c r="DY102"/>
      <c r="DZ102"/>
      <c r="EA102"/>
      <c r="EB102"/>
      <c r="EC102"/>
      <c r="ED102"/>
    </row>
    <row r="103" spans="1:145" s="27" customFormat="1" ht="14">
      <c r="A103" s="84">
        <v>43857.616423611114</v>
      </c>
      <c r="B103" s="27" t="str">
        <f ca="1">IFERROR(__xludf.DUMMYFUNCTION("""COMPUTED_VALUE"""),"D00265")</f>
        <v>D00265</v>
      </c>
      <c r="C103" s="86">
        <f t="shared" si="4"/>
        <v>102</v>
      </c>
      <c r="D103" s="27" t="s">
        <v>139</v>
      </c>
      <c r="E103" s="27" t="s">
        <v>19</v>
      </c>
      <c r="F103" s="27">
        <v>10</v>
      </c>
      <c r="G103" s="27">
        <f ca="1">IFERROR(__xludf.DUMMYFUNCTION("""COMPUTED_VALUE"""),22.5)</f>
        <v>22.5</v>
      </c>
      <c r="H103" s="27">
        <f ca="1">IFERROR(__xludf.DUMMYFUNCTION("""COMPUTED_VALUE"""),41.2)</f>
        <v>41.2</v>
      </c>
      <c r="I103" s="27">
        <v>908</v>
      </c>
      <c r="J103" s="27">
        <v>0.7</v>
      </c>
      <c r="K103" s="27">
        <v>139</v>
      </c>
      <c r="L103" s="27">
        <v>0.5</v>
      </c>
      <c r="M103" s="27">
        <v>21.714506000172999</v>
      </c>
      <c r="N103" s="27">
        <v>0.04</v>
      </c>
      <c r="O103" s="27">
        <v>43.8</v>
      </c>
      <c r="P103" s="27">
        <f ca="1">IFERROR(__xludf.DUMMYFUNCTION("""COMPUTED_VALUE"""),1.25)</f>
        <v>1.25</v>
      </c>
      <c r="R103" s="27">
        <f ca="1">IFERROR(__xludf.DUMMYFUNCTION("""COMPUTED_VALUE"""),482)</f>
        <v>482</v>
      </c>
      <c r="S103" s="27">
        <f ca="1">IFERROR(__xludf.DUMMYFUNCTION("""COMPUTED_VALUE"""),375)</f>
        <v>375</v>
      </c>
      <c r="T103" s="27">
        <f ca="1">IFERROR(__xludf.DUMMYFUNCTION("""COMPUTED_VALUE"""),185)</f>
        <v>185</v>
      </c>
      <c r="V103" s="27">
        <f t="shared" ca="1" si="5"/>
        <v>428.5</v>
      </c>
      <c r="AD103" s="27">
        <v>6</v>
      </c>
      <c r="AF103" t="str">
        <f ca="1">IFERROR(__xludf.DUMMYFUNCTION("""COMPUTED_VALUE"""),"Open plan")</f>
        <v>Open plan</v>
      </c>
      <c r="AG103" t="str">
        <f ca="1">IFERROR(__xludf.DUMMYFUNCTION("""COMPUTED_VALUE"""),"No")</f>
        <v>No</v>
      </c>
      <c r="AH103" t="str">
        <f ca="1">IFERROR(__xludf.DUMMYFUNCTION("""COMPUTED_VALUE"""),"No")</f>
        <v>No</v>
      </c>
      <c r="AI103" t="str">
        <f ca="1">IFERROR(__xludf.DUMMYFUNCTION("""COMPUTED_VALUE"""),"No")</f>
        <v>No</v>
      </c>
      <c r="AJ103" t="str">
        <f ca="1">IFERROR(__xludf.DUMMYFUNCTION("""COMPUTED_VALUE"""),"No")</f>
        <v>No</v>
      </c>
      <c r="AK103">
        <f t="array" ref="AK103:AK108">TRANSPOSE('[1]Garment Insulation'!R132:ER132)</f>
        <v>0</v>
      </c>
      <c r="AL103"/>
      <c r="AM103" t="str">
        <f ca="1">IFERROR(__xludf.DUMMYFUNCTION("""COMPUTED_VALUE"""),"laminate")</f>
        <v>laminate</v>
      </c>
      <c r="AN103" t="str">
        <f ca="1">IFERROR(__xludf.DUMMYFUNCTION("""COMPUTED_VALUE"""),"white")</f>
        <v>white</v>
      </c>
      <c r="AO103" t="str">
        <f ca="1">IFERROR(__xludf.DUMMYFUNCTION("""COMPUTED_VALUE"""),"Office chair")</f>
        <v>Office chair</v>
      </c>
      <c r="AP103" t="str">
        <f ca="1">IFERROR(__xludf.DUMMYFUNCTION("""COMPUTED_VALUE"""),"Cloth")</f>
        <v>Cloth</v>
      </c>
      <c r="AQ103" t="str">
        <f ca="1">IFERROR(__xludf.DUMMYFUNCTION("""COMPUTED_VALUE"""),"Carpet")</f>
        <v>Carpet</v>
      </c>
      <c r="AR103" t="str">
        <f ca="1">IFERROR(__xludf.DUMMYFUNCTION("""COMPUTED_VALUE"""),"Grey")</f>
        <v>Grey</v>
      </c>
      <c r="AS103" t="str">
        <f ca="1">IFERROR(__xludf.DUMMYFUNCTION("""COMPUTED_VALUE"""),"White")</f>
        <v>White</v>
      </c>
      <c r="AT103" t="str">
        <f ca="1">IFERROR(__xludf.DUMMYFUNCTION("""COMPUTED_VALUE"""),"Wood and white")</f>
        <v>Wood and white</v>
      </c>
      <c r="AU103" t="str">
        <f ca="1">IFERROR(__xludf.DUMMYFUNCTION("""COMPUTED_VALUE"""),"Grey")</f>
        <v>Grey</v>
      </c>
      <c r="AV103" t="str">
        <f ca="1">IFERROR(__xludf.DUMMYFUNCTION("""COMPUTED_VALUE"""),"No")</f>
        <v>No</v>
      </c>
      <c r="AW103">
        <f ca="1">IFERROR(__xludf.DUMMYFUNCTION("""COMPUTED_VALUE"""),482)</f>
        <v>482</v>
      </c>
      <c r="AX103">
        <f ca="1">IFERROR(__xludf.DUMMYFUNCTION("""COMPUTED_VALUE"""),375)</f>
        <v>375</v>
      </c>
      <c r="AY103">
        <f ca="1">IFERROR(__xludf.DUMMYFUNCTION("""COMPUTED_VALUE"""),185)</f>
        <v>185</v>
      </c>
      <c r="AZ103" t="str">
        <f ca="1">IFERROR(__xludf.DUMMYFUNCTION("""COMPUTED_VALUE"""),"No")</f>
        <v>No</v>
      </c>
      <c r="BA103">
        <f ca="1">IFERROR(__xludf.DUMMYFUNCTION("""COMPUTED_VALUE"""),3.7)</f>
        <v>3.7</v>
      </c>
      <c r="BB103">
        <f ca="1">IFERROR(__xludf.DUMMYFUNCTION("""COMPUTED_VALUE"""),1)</f>
        <v>1</v>
      </c>
      <c r="BC103" t="str">
        <f ca="1">IFERROR(__xludf.DUMMYFUNCTION("""COMPUTED_VALUE"""),"No")</f>
        <v>No</v>
      </c>
      <c r="BD103">
        <f ca="1">IFERROR(__xludf.DUMMYFUNCTION("""COMPUTED_VALUE"""),1.4)</f>
        <v>1.4</v>
      </c>
      <c r="BE103" t="str">
        <f ca="1">IFERROR(__xludf.DUMMYFUNCTION("""COMPUTED_VALUE"""),"N")</f>
        <v>N</v>
      </c>
      <c r="BF103" t="str">
        <f ca="1">IFERROR(__xludf.DUMMYFUNCTION("""COMPUTED_VALUE"""),"NA")</f>
        <v>NA</v>
      </c>
      <c r="BG103" t="str">
        <f ca="1">IFERROR(__xludf.DUMMYFUNCTION("""COMPUTED_VALUE"""),"NA")</f>
        <v>NA</v>
      </c>
      <c r="BH103">
        <f ca="1">IFERROR(__xludf.DUMMYFUNCTION("""COMPUTED_VALUE"""),1.5)</f>
        <v>1.5</v>
      </c>
      <c r="BI103">
        <f ca="1">IFERROR(__xludf.DUMMYFUNCTION("""COMPUTED_VALUE"""),0.75)</f>
        <v>0.75</v>
      </c>
      <c r="BJ103">
        <f ca="1">IFERROR(__xludf.DUMMYFUNCTION("""COMPUTED_VALUE"""),0.78)</f>
        <v>0.78</v>
      </c>
      <c r="BK103">
        <f ca="1">IFERROR(__xludf.DUMMYFUNCTION("""COMPUTED_VALUE"""),1.25)</f>
        <v>1.25</v>
      </c>
      <c r="BL103">
        <v>1</v>
      </c>
      <c r="BM103">
        <v>3</v>
      </c>
      <c r="BN103">
        <v>2</v>
      </c>
      <c r="BO103">
        <v>2</v>
      </c>
      <c r="BP103">
        <v>2</v>
      </c>
      <c r="BQ103">
        <v>4</v>
      </c>
      <c r="BR103">
        <v>6</v>
      </c>
      <c r="BS103">
        <v>2</v>
      </c>
      <c r="BT103">
        <v>2</v>
      </c>
      <c r="BU103">
        <v>3</v>
      </c>
      <c r="BV103">
        <v>4</v>
      </c>
      <c r="BW103">
        <v>2</v>
      </c>
      <c r="BX103">
        <v>3</v>
      </c>
      <c r="BY103">
        <v>3</v>
      </c>
      <c r="BZ103">
        <v>1</v>
      </c>
      <c r="CA103">
        <v>4</v>
      </c>
      <c r="CB103">
        <v>4</v>
      </c>
      <c r="CC103">
        <v>4</v>
      </c>
      <c r="CD103">
        <v>1</v>
      </c>
      <c r="CE103">
        <v>1</v>
      </c>
      <c r="CF103">
        <v>6</v>
      </c>
      <c r="CG103">
        <v>1</v>
      </c>
      <c r="CH103">
        <v>2</v>
      </c>
      <c r="CI103">
        <v>6</v>
      </c>
      <c r="CJ103">
        <v>5</v>
      </c>
      <c r="CK103">
        <v>4</v>
      </c>
      <c r="CL103">
        <v>5</v>
      </c>
      <c r="CM103">
        <v>1</v>
      </c>
      <c r="CN103" s="100" t="s">
        <v>223</v>
      </c>
      <c r="CO103">
        <v>2</v>
      </c>
      <c r="CP103">
        <v>6</v>
      </c>
      <c r="CQ103">
        <v>6</v>
      </c>
      <c r="CR103">
        <v>2</v>
      </c>
      <c r="CS103">
        <v>2</v>
      </c>
      <c r="CT103">
        <v>2</v>
      </c>
      <c r="CU103">
        <v>6</v>
      </c>
      <c r="CV103">
        <v>2</v>
      </c>
      <c r="CW103">
        <v>3</v>
      </c>
      <c r="CX103" s="100" t="s">
        <v>15</v>
      </c>
      <c r="CY103">
        <v>6</v>
      </c>
      <c r="CZ103">
        <v>1</v>
      </c>
      <c r="DA103">
        <v>3</v>
      </c>
      <c r="DB103">
        <v>2</v>
      </c>
      <c r="DC103">
        <v>4</v>
      </c>
      <c r="DD103">
        <v>3</v>
      </c>
      <c r="DE103">
        <v>5</v>
      </c>
      <c r="DF103">
        <v>4</v>
      </c>
      <c r="DG103">
        <v>5</v>
      </c>
      <c r="DH103" s="100" t="s">
        <v>223</v>
      </c>
      <c r="DI103" s="100" t="s">
        <v>223</v>
      </c>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row>
    <row r="104" spans="1:145" s="27" customFormat="1" ht="28">
      <c r="A104" s="84">
        <v>43857.63003472222</v>
      </c>
      <c r="B104" s="27" t="str">
        <f ca="1">IFERROR(__xludf.DUMMYFUNCTION("""COMPUTED_VALUE"""),"D00105")</f>
        <v>D00105</v>
      </c>
      <c r="C104" s="86">
        <f t="shared" si="4"/>
        <v>103</v>
      </c>
      <c r="D104" s="27" t="s">
        <v>139</v>
      </c>
      <c r="E104" s="27" t="s">
        <v>19</v>
      </c>
      <c r="F104" s="27">
        <v>10</v>
      </c>
      <c r="G104" s="27">
        <f ca="1">IFERROR(__xludf.DUMMYFUNCTION("""COMPUTED_VALUE"""),22.9)</f>
        <v>22.9</v>
      </c>
      <c r="H104" s="27">
        <f ca="1">IFERROR(__xludf.DUMMYFUNCTION("""COMPUTED_VALUE"""),41.8)</f>
        <v>41.8</v>
      </c>
      <c r="I104" s="27">
        <v>1117</v>
      </c>
      <c r="J104" s="27">
        <v>0.8</v>
      </c>
      <c r="K104" s="27">
        <v>146</v>
      </c>
      <c r="L104" s="27">
        <v>0.6</v>
      </c>
      <c r="M104" s="27">
        <v>21.412833342982601</v>
      </c>
      <c r="N104" s="27">
        <v>0.04</v>
      </c>
      <c r="O104" s="27">
        <v>43.2</v>
      </c>
      <c r="P104" s="27">
        <v>0</v>
      </c>
      <c r="R104" s="27">
        <f ca="1">IFERROR(__xludf.DUMMYFUNCTION("""COMPUTED_VALUE"""),166)</f>
        <v>166</v>
      </c>
      <c r="S104" s="27">
        <f ca="1">IFERROR(__xludf.DUMMYFUNCTION("""COMPUTED_VALUE"""),261)</f>
        <v>261</v>
      </c>
      <c r="T104" s="27">
        <f ca="1">IFERROR(__xludf.DUMMYFUNCTION("""COMPUTED_VALUE"""),95)</f>
        <v>95</v>
      </c>
      <c r="V104" s="27">
        <f t="shared" ca="1" si="5"/>
        <v>213.5</v>
      </c>
      <c r="AD104" s="27">
        <v>5</v>
      </c>
      <c r="AF104" t="str">
        <f ca="1">IFERROR(__xludf.DUMMYFUNCTION("""COMPUTED_VALUE"""),"Private")</f>
        <v>Private</v>
      </c>
      <c r="AG104" t="str">
        <f ca="1">IFERROR(__xludf.DUMMYFUNCTION("""COMPUTED_VALUE"""),"No")</f>
        <v>No</v>
      </c>
      <c r="AH104" t="str">
        <f ca="1">IFERROR(__xludf.DUMMYFUNCTION("""COMPUTED_VALUE"""),"Yes")</f>
        <v>Yes</v>
      </c>
      <c r="AI104" t="str">
        <f ca="1">IFERROR(__xludf.DUMMYFUNCTION("""COMPUTED_VALUE"""),"Yes")</f>
        <v>Yes</v>
      </c>
      <c r="AJ104" t="str">
        <f ca="1">IFERROR(__xludf.DUMMYFUNCTION("""COMPUTED_VALUE"""),"Yes")</f>
        <v>Yes</v>
      </c>
      <c r="AK104">
        <v>0</v>
      </c>
      <c r="AL104"/>
      <c r="AM104" t="str">
        <f ca="1">IFERROR(__xludf.DUMMYFUNCTION("""COMPUTED_VALUE"""),"laminate")</f>
        <v>laminate</v>
      </c>
      <c r="AN104" t="str">
        <f ca="1">IFERROR(__xludf.DUMMYFUNCTION("""COMPUTED_VALUE"""),"white")</f>
        <v>white</v>
      </c>
      <c r="AO104" t="str">
        <f ca="1">IFERROR(__xludf.DUMMYFUNCTION("""COMPUTED_VALUE"""),"Office chair")</f>
        <v>Office chair</v>
      </c>
      <c r="AP104" t="str">
        <f ca="1">IFERROR(__xludf.DUMMYFUNCTION("""COMPUTED_VALUE"""),"Cloth")</f>
        <v>Cloth</v>
      </c>
      <c r="AQ104" t="str">
        <f ca="1">IFERROR(__xludf.DUMMYFUNCTION("""COMPUTED_VALUE"""),"Carpet")</f>
        <v>Carpet</v>
      </c>
      <c r="AR104" t="str">
        <f ca="1">IFERROR(__xludf.DUMMYFUNCTION("""COMPUTED_VALUE"""),"Grey")</f>
        <v>Grey</v>
      </c>
      <c r="AS104" t="str">
        <f ca="1">IFERROR(__xludf.DUMMYFUNCTION("""COMPUTED_VALUE"""),"White")</f>
        <v>White</v>
      </c>
      <c r="AT104" t="str">
        <f ca="1">IFERROR(__xludf.DUMMYFUNCTION("""COMPUTED_VALUE"""),"Wood and white")</f>
        <v>Wood and white</v>
      </c>
      <c r="AU104" t="str">
        <f ca="1">IFERROR(__xludf.DUMMYFUNCTION("""COMPUTED_VALUE"""),"NA")</f>
        <v>NA</v>
      </c>
      <c r="AV104" t="str">
        <f ca="1">IFERROR(__xludf.DUMMYFUNCTION("""COMPUTED_VALUE"""),"No")</f>
        <v>No</v>
      </c>
      <c r="AW104">
        <f ca="1">IFERROR(__xludf.DUMMYFUNCTION("""COMPUTED_VALUE"""),166)</f>
        <v>166</v>
      </c>
      <c r="AX104">
        <f ca="1">IFERROR(__xludf.DUMMYFUNCTION("""COMPUTED_VALUE"""),261)</f>
        <v>261</v>
      </c>
      <c r="AY104">
        <f ca="1">IFERROR(__xludf.DUMMYFUNCTION("""COMPUTED_VALUE"""),95)</f>
        <v>95</v>
      </c>
      <c r="AZ104" t="str">
        <f ca="1">IFERROR(__xludf.DUMMYFUNCTION("""COMPUTED_VALUE"""),"No")</f>
        <v>No</v>
      </c>
      <c r="BA104">
        <f ca="1">IFERROR(__xludf.DUMMYFUNCTION("""COMPUTED_VALUE"""),3.7)</f>
        <v>3.7</v>
      </c>
      <c r="BB104">
        <f ca="1">IFERROR(__xludf.DUMMYFUNCTION("""COMPUTED_VALUE"""),1.4)</f>
        <v>1.4</v>
      </c>
      <c r="BC104" t="str">
        <f ca="1">IFERROR(__xludf.DUMMYFUNCTION("""COMPUTED_VALUE"""),"Yes")</f>
        <v>Yes</v>
      </c>
      <c r="BD104">
        <f ca="1">IFERROR(__xludf.DUMMYFUNCTION("""COMPUTED_VALUE"""),1)</f>
        <v>1</v>
      </c>
      <c r="BE104" t="str">
        <f ca="1">IFERROR(__xludf.DUMMYFUNCTION("""COMPUTED_VALUE"""),"SE")</f>
        <v>SE</v>
      </c>
      <c r="BF104" t="str">
        <f ca="1">IFERROR(__xludf.DUMMYFUNCTION("""COMPUTED_VALUE"""),"NA")</f>
        <v>NA</v>
      </c>
      <c r="BG104" t="str">
        <f ca="1">IFERROR(__xludf.DUMMYFUNCTION("""COMPUTED_VALUE"""),"NA")</f>
        <v>NA</v>
      </c>
      <c r="BH104">
        <f ca="1">IFERROR(__xludf.DUMMYFUNCTION("""COMPUTED_VALUE"""),2.8)</f>
        <v>2.8</v>
      </c>
      <c r="BI104">
        <f ca="1">IFERROR(__xludf.DUMMYFUNCTION("""COMPUTED_VALUE"""),0.75)</f>
        <v>0.75</v>
      </c>
      <c r="BJ104">
        <f ca="1">IFERROR(__xludf.DUMMYFUNCTION("""COMPUTED_VALUE"""),0.77)</f>
        <v>0.77</v>
      </c>
      <c r="BK104" t="str">
        <f ca="1">IFERROR(__xludf.DUMMYFUNCTION("""COMPUTED_VALUE"""),"NA")</f>
        <v>NA</v>
      </c>
      <c r="BL104">
        <v>2</v>
      </c>
      <c r="BM104">
        <v>3</v>
      </c>
      <c r="BN104">
        <v>4</v>
      </c>
      <c r="BO104">
        <v>3</v>
      </c>
      <c r="BP104">
        <v>2</v>
      </c>
      <c r="BQ104">
        <v>5</v>
      </c>
      <c r="BR104">
        <v>5</v>
      </c>
      <c r="BS104">
        <v>3</v>
      </c>
      <c r="BT104">
        <v>2</v>
      </c>
      <c r="BU104">
        <v>3</v>
      </c>
      <c r="BV104">
        <v>3</v>
      </c>
      <c r="BW104">
        <v>3</v>
      </c>
      <c r="BX104">
        <v>1</v>
      </c>
      <c r="BY104">
        <v>3</v>
      </c>
      <c r="BZ104">
        <v>1</v>
      </c>
      <c r="CA104">
        <v>7</v>
      </c>
      <c r="CB104">
        <v>5</v>
      </c>
      <c r="CC104">
        <v>7</v>
      </c>
      <c r="CD104">
        <v>1</v>
      </c>
      <c r="CE104">
        <v>1</v>
      </c>
      <c r="CF104">
        <v>6</v>
      </c>
      <c r="CG104">
        <v>1</v>
      </c>
      <c r="CH104">
        <v>2</v>
      </c>
      <c r="CI104">
        <v>7</v>
      </c>
      <c r="CJ104">
        <v>5</v>
      </c>
      <c r="CK104">
        <v>6</v>
      </c>
      <c r="CL104">
        <v>3</v>
      </c>
      <c r="CM104">
        <v>1</v>
      </c>
      <c r="CN104" s="100" t="s">
        <v>223</v>
      </c>
      <c r="CO104">
        <v>1</v>
      </c>
      <c r="CP104">
        <v>7</v>
      </c>
      <c r="CQ104">
        <v>6</v>
      </c>
      <c r="CR104">
        <v>1</v>
      </c>
      <c r="CS104">
        <v>1</v>
      </c>
      <c r="CT104">
        <v>7</v>
      </c>
      <c r="CU104">
        <v>7</v>
      </c>
      <c r="CV104">
        <v>2</v>
      </c>
      <c r="CW104">
        <v>3</v>
      </c>
      <c r="CX104" s="100" t="s">
        <v>235</v>
      </c>
      <c r="CY104">
        <v>6</v>
      </c>
      <c r="CZ104">
        <v>1</v>
      </c>
      <c r="DA104">
        <v>3</v>
      </c>
      <c r="DB104">
        <v>1</v>
      </c>
      <c r="DC104">
        <v>5</v>
      </c>
      <c r="DD104">
        <v>3</v>
      </c>
      <c r="DE104">
        <v>4</v>
      </c>
      <c r="DF104">
        <v>5</v>
      </c>
      <c r="DG104">
        <v>2</v>
      </c>
      <c r="DH104" s="100" t="s">
        <v>548</v>
      </c>
      <c r="DI104" s="100" t="s">
        <v>223</v>
      </c>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row>
    <row r="105" spans="1:145" s="27" customFormat="1" ht="42">
      <c r="A105" s="84">
        <v>43857.645497685182</v>
      </c>
      <c r="B105" s="27" t="str">
        <f ca="1">IFERROR(__xludf.DUMMYFUNCTION("""COMPUTED_VALUE"""),"D00325")</f>
        <v>D00325</v>
      </c>
      <c r="C105" s="86">
        <f t="shared" si="4"/>
        <v>104</v>
      </c>
      <c r="D105" s="27" t="s">
        <v>139</v>
      </c>
      <c r="E105" s="27" t="s">
        <v>19</v>
      </c>
      <c r="F105" s="27">
        <v>10</v>
      </c>
      <c r="G105" s="27">
        <f ca="1">IFERROR(__xludf.DUMMYFUNCTION("""COMPUTED_VALUE"""),21.4)</f>
        <v>21.4</v>
      </c>
      <c r="H105" s="27">
        <f ca="1">IFERROR(__xludf.DUMMYFUNCTION("""COMPUTED_VALUE"""),41.5)</f>
        <v>41.5</v>
      </c>
      <c r="I105" s="27">
        <v>734</v>
      </c>
      <c r="J105" s="27">
        <v>0.7</v>
      </c>
      <c r="K105" s="27">
        <v>134</v>
      </c>
      <c r="L105" s="27">
        <v>0.5</v>
      </c>
      <c r="M105" s="27">
        <v>20.479440264892901</v>
      </c>
      <c r="N105" s="27">
        <v>0.02</v>
      </c>
      <c r="O105" s="27">
        <v>51.8</v>
      </c>
      <c r="P105" s="27">
        <v>0</v>
      </c>
      <c r="R105" s="27">
        <f ca="1">IFERROR(__xludf.DUMMYFUNCTION("""COMPUTED_VALUE"""),376)</f>
        <v>376</v>
      </c>
      <c r="S105" s="27">
        <f ca="1">IFERROR(__xludf.DUMMYFUNCTION("""COMPUTED_VALUE"""),354)</f>
        <v>354</v>
      </c>
      <c r="T105" s="27">
        <f ca="1">IFERROR(__xludf.DUMMYFUNCTION("""COMPUTED_VALUE"""),186.7)</f>
        <v>186.7</v>
      </c>
      <c r="V105" s="27">
        <f t="shared" ca="1" si="5"/>
        <v>365</v>
      </c>
      <c r="AD105" s="27">
        <v>7</v>
      </c>
      <c r="AF105" t="str">
        <f ca="1">IFERROR(__xludf.DUMMYFUNCTION("""COMPUTED_VALUE"""),"Semi private (2-5 desks)")</f>
        <v>Semi private (2-5 desks)</v>
      </c>
      <c r="AG105" t="str">
        <f ca="1">IFERROR(__xludf.DUMMYFUNCTION("""COMPUTED_VALUE"""),"No")</f>
        <v>No</v>
      </c>
      <c r="AH105" t="str">
        <f ca="1">IFERROR(__xludf.DUMMYFUNCTION("""COMPUTED_VALUE"""),"Yes")</f>
        <v>Yes</v>
      </c>
      <c r="AI105" t="str">
        <f ca="1">IFERROR(__xludf.DUMMYFUNCTION("""COMPUTED_VALUE"""),"Yes")</f>
        <v>Yes</v>
      </c>
      <c r="AJ105" t="str">
        <f ca="1">IFERROR(__xludf.DUMMYFUNCTION("""COMPUTED_VALUE"""),"No")</f>
        <v>No</v>
      </c>
      <c r="AK105">
        <v>0</v>
      </c>
      <c r="AL105"/>
      <c r="AM105" t="str">
        <f ca="1">IFERROR(__xludf.DUMMYFUNCTION("""COMPUTED_VALUE"""),"laminate")</f>
        <v>laminate</v>
      </c>
      <c r="AN105" t="str">
        <f ca="1">IFERROR(__xludf.DUMMYFUNCTION("""COMPUTED_VALUE"""),"white")</f>
        <v>white</v>
      </c>
      <c r="AO105" t="str">
        <f ca="1">IFERROR(__xludf.DUMMYFUNCTION("""COMPUTED_VALUE"""),"Office chair")</f>
        <v>Office chair</v>
      </c>
      <c r="AP105" t="str">
        <f ca="1">IFERROR(__xludf.DUMMYFUNCTION("""COMPUTED_VALUE"""),"cloth")</f>
        <v>cloth</v>
      </c>
      <c r="AQ105" t="str">
        <f ca="1">IFERROR(__xludf.DUMMYFUNCTION("""COMPUTED_VALUE"""),"Carpet")</f>
        <v>Carpet</v>
      </c>
      <c r="AR105" t="str">
        <f ca="1">IFERROR(__xludf.DUMMYFUNCTION("""COMPUTED_VALUE"""),"Grey")</f>
        <v>Grey</v>
      </c>
      <c r="AS105" t="str">
        <f ca="1">IFERROR(__xludf.DUMMYFUNCTION("""COMPUTED_VALUE"""),"wood")</f>
        <v>wood</v>
      </c>
      <c r="AT105" t="str">
        <f ca="1">IFERROR(__xludf.DUMMYFUNCTION("""COMPUTED_VALUE"""),"wood and white")</f>
        <v>wood and white</v>
      </c>
      <c r="AU105" t="str">
        <f ca="1">IFERROR(__xludf.DUMMYFUNCTION("""COMPUTED_VALUE"""),"NA")</f>
        <v>NA</v>
      </c>
      <c r="AV105" t="str">
        <f ca="1">IFERROR(__xludf.DUMMYFUNCTION("""COMPUTED_VALUE"""),"No")</f>
        <v>No</v>
      </c>
      <c r="AW105">
        <f ca="1">IFERROR(__xludf.DUMMYFUNCTION("""COMPUTED_VALUE"""),376)</f>
        <v>376</v>
      </c>
      <c r="AX105">
        <f ca="1">IFERROR(__xludf.DUMMYFUNCTION("""COMPUTED_VALUE"""),354)</f>
        <v>354</v>
      </c>
      <c r="AY105">
        <f ca="1">IFERROR(__xludf.DUMMYFUNCTION("""COMPUTED_VALUE"""),186.7)</f>
        <v>186.7</v>
      </c>
      <c r="AZ105" t="str">
        <f ca="1">IFERROR(__xludf.DUMMYFUNCTION("""COMPUTED_VALUE"""),"No")</f>
        <v>No</v>
      </c>
      <c r="BA105">
        <f ca="1">IFERROR(__xludf.DUMMYFUNCTION("""COMPUTED_VALUE"""),3.7)</f>
        <v>3.7</v>
      </c>
      <c r="BB105">
        <f ca="1">IFERROR(__xludf.DUMMYFUNCTION("""COMPUTED_VALUE"""),1.3)</f>
        <v>1.3</v>
      </c>
      <c r="BC105" t="str">
        <f ca="1">IFERROR(__xludf.DUMMYFUNCTION("""COMPUTED_VALUE"""),"No")</f>
        <v>No</v>
      </c>
      <c r="BD105">
        <f ca="1">IFERROR(__xludf.DUMMYFUNCTION("""COMPUTED_VALUE"""),1.3)</f>
        <v>1.3</v>
      </c>
      <c r="BE105" t="str">
        <f ca="1">IFERROR(__xludf.DUMMYFUNCTION("""COMPUTED_VALUE"""),"W")</f>
        <v>W</v>
      </c>
      <c r="BF105">
        <f ca="1">IFERROR(__xludf.DUMMYFUNCTION("""COMPUTED_VALUE"""),1.43)</f>
        <v>1.43</v>
      </c>
      <c r="BG105" t="str">
        <f ca="1">IFERROR(__xludf.DUMMYFUNCTION("""COMPUTED_VALUE"""),"E")</f>
        <v>E</v>
      </c>
      <c r="BH105">
        <f ca="1">IFERROR(__xludf.DUMMYFUNCTION("""COMPUTED_VALUE"""),1.54)</f>
        <v>1.54</v>
      </c>
      <c r="BI105">
        <f ca="1">IFERROR(__xludf.DUMMYFUNCTION("""COMPUTED_VALUE"""),0.75)</f>
        <v>0.75</v>
      </c>
      <c r="BJ105">
        <f ca="1">IFERROR(__xludf.DUMMYFUNCTION("""COMPUTED_VALUE"""),1.13)</f>
        <v>1.1299999999999999</v>
      </c>
      <c r="BK105" t="str">
        <f ca="1">IFERROR(__xludf.DUMMYFUNCTION("""COMPUTED_VALUE"""),"Na")</f>
        <v>Na</v>
      </c>
      <c r="BL105">
        <v>1</v>
      </c>
      <c r="BM105">
        <v>3</v>
      </c>
      <c r="BN105">
        <v>4</v>
      </c>
      <c r="BO105">
        <v>2</v>
      </c>
      <c r="BP105">
        <v>2</v>
      </c>
      <c r="BQ105">
        <v>4</v>
      </c>
      <c r="BR105">
        <v>7</v>
      </c>
      <c r="BS105">
        <v>2</v>
      </c>
      <c r="BT105">
        <v>1</v>
      </c>
      <c r="BU105">
        <v>7</v>
      </c>
      <c r="BV105">
        <v>7</v>
      </c>
      <c r="BW105">
        <v>7</v>
      </c>
      <c r="BX105">
        <v>4</v>
      </c>
      <c r="BY105">
        <v>2</v>
      </c>
      <c r="BZ105">
        <v>2</v>
      </c>
      <c r="CA105">
        <v>7</v>
      </c>
      <c r="CB105">
        <v>7</v>
      </c>
      <c r="CC105">
        <v>7</v>
      </c>
      <c r="CD105">
        <v>1</v>
      </c>
      <c r="CE105">
        <v>1</v>
      </c>
      <c r="CF105">
        <v>7</v>
      </c>
      <c r="CG105">
        <v>1</v>
      </c>
      <c r="CH105">
        <v>2</v>
      </c>
      <c r="CI105">
        <v>7</v>
      </c>
      <c r="CJ105">
        <v>7</v>
      </c>
      <c r="CK105">
        <v>7</v>
      </c>
      <c r="CL105">
        <v>7</v>
      </c>
      <c r="CM105">
        <v>1</v>
      </c>
      <c r="CN105" s="100" t="s">
        <v>223</v>
      </c>
      <c r="CO105">
        <v>1</v>
      </c>
      <c r="CP105">
        <v>7</v>
      </c>
      <c r="CQ105">
        <v>7</v>
      </c>
      <c r="CR105">
        <v>1</v>
      </c>
      <c r="CS105">
        <v>1</v>
      </c>
      <c r="CT105">
        <v>7</v>
      </c>
      <c r="CU105">
        <v>7</v>
      </c>
      <c r="CV105">
        <v>2</v>
      </c>
      <c r="CW105">
        <v>2</v>
      </c>
      <c r="CX105" s="100" t="s">
        <v>15</v>
      </c>
      <c r="CY105">
        <v>7</v>
      </c>
      <c r="CZ105">
        <v>1</v>
      </c>
      <c r="DA105">
        <v>3</v>
      </c>
      <c r="DB105">
        <v>1</v>
      </c>
      <c r="DC105">
        <v>7</v>
      </c>
      <c r="DD105">
        <v>3</v>
      </c>
      <c r="DE105">
        <v>7</v>
      </c>
      <c r="DF105">
        <v>7</v>
      </c>
      <c r="DG105">
        <v>6</v>
      </c>
      <c r="DH105" s="100" t="s">
        <v>549</v>
      </c>
      <c r="DI105" s="100" t="s">
        <v>223</v>
      </c>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row>
    <row r="106" spans="1:145" s="27" customFormat="1" ht="14">
      <c r="A106" s="84">
        <v>43857.653657407405</v>
      </c>
      <c r="B106" s="27" t="str">
        <f ca="1">IFERROR(__xludf.DUMMYFUNCTION("""COMPUTED_VALUE"""),"D00310")</f>
        <v>D00310</v>
      </c>
      <c r="C106" s="86">
        <f t="shared" si="4"/>
        <v>105</v>
      </c>
      <c r="D106" s="27" t="s">
        <v>139</v>
      </c>
      <c r="E106" s="27" t="s">
        <v>19</v>
      </c>
      <c r="F106" s="27">
        <v>10</v>
      </c>
      <c r="G106" s="27">
        <f ca="1">IFERROR(__xludf.DUMMYFUNCTION("""COMPUTED_VALUE"""),21.9)</f>
        <v>21.9</v>
      </c>
      <c r="H106" s="27">
        <f ca="1">IFERROR(__xludf.DUMMYFUNCTION("""COMPUTED_VALUE"""),41)</f>
        <v>41</v>
      </c>
      <c r="I106" s="27">
        <v>744</v>
      </c>
      <c r="J106" s="27">
        <v>0.7</v>
      </c>
      <c r="K106" s="27">
        <v>134</v>
      </c>
      <c r="L106" s="27">
        <v>0.75000000000000011</v>
      </c>
      <c r="M106" s="27">
        <v>20.633788037790801</v>
      </c>
      <c r="N106" s="27">
        <v>0.04</v>
      </c>
      <c r="O106" s="27">
        <v>51</v>
      </c>
      <c r="P106" s="27">
        <v>0</v>
      </c>
      <c r="R106" s="27">
        <f ca="1">IFERROR(__xludf.DUMMYFUNCTION("""COMPUTED_VALUE"""),175.7)</f>
        <v>175.7</v>
      </c>
      <c r="S106" s="27">
        <f ca="1">IFERROR(__xludf.DUMMYFUNCTION("""COMPUTED_VALUE"""),182)</f>
        <v>182</v>
      </c>
      <c r="T106" s="27">
        <f ca="1">IFERROR(__xludf.DUMMYFUNCTION("""COMPUTED_VALUE"""),129.6)</f>
        <v>129.6</v>
      </c>
      <c r="V106" s="27">
        <f t="shared" ca="1" si="5"/>
        <v>178.85</v>
      </c>
      <c r="AD106" s="27">
        <v>6</v>
      </c>
      <c r="AF106" t="str">
        <f ca="1">IFERROR(__xludf.DUMMYFUNCTION("""COMPUTED_VALUE"""),"Semi private (2-5 desks)")</f>
        <v>Semi private (2-5 desks)</v>
      </c>
      <c r="AG106" t="str">
        <f ca="1">IFERROR(__xludf.DUMMYFUNCTION("""COMPUTED_VALUE"""),"No")</f>
        <v>No</v>
      </c>
      <c r="AH106" t="str">
        <f ca="1">IFERROR(__xludf.DUMMYFUNCTION("""COMPUTED_VALUE"""),"Yes")</f>
        <v>Yes</v>
      </c>
      <c r="AI106" t="str">
        <f ca="1">IFERROR(__xludf.DUMMYFUNCTION("""COMPUTED_VALUE"""),"Yes")</f>
        <v>Yes</v>
      </c>
      <c r="AJ106" t="str">
        <f ca="1">IFERROR(__xludf.DUMMYFUNCTION("""COMPUTED_VALUE"""),"Yes")</f>
        <v>Yes</v>
      </c>
      <c r="AK106">
        <v>0</v>
      </c>
      <c r="AL106"/>
      <c r="AM106" t="str">
        <f ca="1">IFERROR(__xludf.DUMMYFUNCTION("""COMPUTED_VALUE"""),"laminate")</f>
        <v>laminate</v>
      </c>
      <c r="AN106" t="str">
        <f ca="1">IFERROR(__xludf.DUMMYFUNCTION("""COMPUTED_VALUE"""),"white")</f>
        <v>white</v>
      </c>
      <c r="AO106" t="str">
        <f ca="1">IFERROR(__xludf.DUMMYFUNCTION("""COMPUTED_VALUE"""),"Office chair")</f>
        <v>Office chair</v>
      </c>
      <c r="AP106" t="str">
        <f ca="1">IFERROR(__xludf.DUMMYFUNCTION("""COMPUTED_VALUE"""),"cloth")</f>
        <v>cloth</v>
      </c>
      <c r="AQ106" t="str">
        <f ca="1">IFERROR(__xludf.DUMMYFUNCTION("""COMPUTED_VALUE"""),"Carpet")</f>
        <v>Carpet</v>
      </c>
      <c r="AR106" t="str">
        <f ca="1">IFERROR(__xludf.DUMMYFUNCTION("""COMPUTED_VALUE"""),"Grey")</f>
        <v>Grey</v>
      </c>
      <c r="AS106" t="str">
        <f ca="1">IFERROR(__xludf.DUMMYFUNCTION("""COMPUTED_VALUE"""),"wood")</f>
        <v>wood</v>
      </c>
      <c r="AT106" t="str">
        <f ca="1">IFERROR(__xludf.DUMMYFUNCTION("""COMPUTED_VALUE"""),"wood and white")</f>
        <v>wood and white</v>
      </c>
      <c r="AU106" t="str">
        <f ca="1">IFERROR(__xludf.DUMMYFUNCTION("""COMPUTED_VALUE"""),"NA")</f>
        <v>NA</v>
      </c>
      <c r="AV106" t="str">
        <f ca="1">IFERROR(__xludf.DUMMYFUNCTION("""COMPUTED_VALUE"""),"No")</f>
        <v>No</v>
      </c>
      <c r="AW106">
        <f ca="1">IFERROR(__xludf.DUMMYFUNCTION("""COMPUTED_VALUE"""),175.7)</f>
        <v>175.7</v>
      </c>
      <c r="AX106">
        <f ca="1">IFERROR(__xludf.DUMMYFUNCTION("""COMPUTED_VALUE"""),182)</f>
        <v>182</v>
      </c>
      <c r="AY106">
        <f ca="1">IFERROR(__xludf.DUMMYFUNCTION("""COMPUTED_VALUE"""),129.6)</f>
        <v>129.6</v>
      </c>
      <c r="AZ106" t="str">
        <f ca="1">IFERROR(__xludf.DUMMYFUNCTION("""COMPUTED_VALUE"""),"No")</f>
        <v>No</v>
      </c>
      <c r="BA106">
        <f ca="1">IFERROR(__xludf.DUMMYFUNCTION("""COMPUTED_VALUE"""),3.7)</f>
        <v>3.7</v>
      </c>
      <c r="BB106">
        <f ca="1">IFERROR(__xludf.DUMMYFUNCTION("""COMPUTED_VALUE"""),0)</f>
        <v>0</v>
      </c>
      <c r="BC106" t="str">
        <f ca="1">IFERROR(__xludf.DUMMYFUNCTION("""COMPUTED_VALUE"""),"No")</f>
        <v>No</v>
      </c>
      <c r="BD106">
        <f ca="1">IFERROR(__xludf.DUMMYFUNCTION("""COMPUTED_VALUE"""),2.2)</f>
        <v>2.2000000000000002</v>
      </c>
      <c r="BE106" t="str">
        <f ca="1">IFERROR(__xludf.DUMMYFUNCTION("""COMPUTED_VALUE"""),"SW")</f>
        <v>SW</v>
      </c>
      <c r="BF106" t="str">
        <f ca="1">IFERROR(__xludf.DUMMYFUNCTION("""COMPUTED_VALUE"""),"NA")</f>
        <v>NA</v>
      </c>
      <c r="BG106" t="str">
        <f ca="1">IFERROR(__xludf.DUMMYFUNCTION("""COMPUTED_VALUE"""),"NA")</f>
        <v>NA</v>
      </c>
      <c r="BH106">
        <f ca="1">IFERROR(__xludf.DUMMYFUNCTION("""COMPUTED_VALUE"""),1.5)</f>
        <v>1.5</v>
      </c>
      <c r="BI106">
        <f ca="1">IFERROR(__xludf.DUMMYFUNCTION("""COMPUTED_VALUE"""),0.76)</f>
        <v>0.76</v>
      </c>
      <c r="BJ106">
        <f ca="1">IFERROR(__xludf.DUMMYFUNCTION("""COMPUTED_VALUE"""),0.74)</f>
        <v>0.74</v>
      </c>
      <c r="BK106" t="str">
        <f ca="1">IFERROR(__xludf.DUMMYFUNCTION("""COMPUTED_VALUE"""),"NA")</f>
        <v>NA</v>
      </c>
      <c r="BL106">
        <v>2</v>
      </c>
      <c r="BM106">
        <v>3</v>
      </c>
      <c r="BN106">
        <v>4</v>
      </c>
      <c r="BO106">
        <v>2</v>
      </c>
      <c r="BP106">
        <v>1</v>
      </c>
      <c r="BQ106">
        <v>3</v>
      </c>
      <c r="BR106">
        <v>6</v>
      </c>
      <c r="BS106">
        <v>2</v>
      </c>
      <c r="BT106">
        <v>1</v>
      </c>
      <c r="BU106">
        <v>5</v>
      </c>
      <c r="BV106">
        <v>3</v>
      </c>
      <c r="BW106">
        <v>5</v>
      </c>
      <c r="BX106">
        <v>4</v>
      </c>
      <c r="BY106">
        <v>2</v>
      </c>
      <c r="BZ106">
        <v>1</v>
      </c>
      <c r="CA106">
        <v>6</v>
      </c>
      <c r="CB106">
        <v>6</v>
      </c>
      <c r="CC106">
        <v>6</v>
      </c>
      <c r="CD106">
        <v>1</v>
      </c>
      <c r="CE106">
        <v>1</v>
      </c>
      <c r="CF106">
        <v>6</v>
      </c>
      <c r="CG106">
        <v>1</v>
      </c>
      <c r="CH106">
        <v>2</v>
      </c>
      <c r="CI106">
        <v>7</v>
      </c>
      <c r="CJ106">
        <v>6</v>
      </c>
      <c r="CK106">
        <v>7</v>
      </c>
      <c r="CL106">
        <v>6</v>
      </c>
      <c r="CM106">
        <v>1</v>
      </c>
      <c r="CN106" s="100" t="s">
        <v>223</v>
      </c>
      <c r="CO106">
        <v>1</v>
      </c>
      <c r="CP106">
        <v>6</v>
      </c>
      <c r="CQ106">
        <v>5</v>
      </c>
      <c r="CR106">
        <v>2</v>
      </c>
      <c r="CS106">
        <v>2</v>
      </c>
      <c r="CT106">
        <v>5</v>
      </c>
      <c r="CU106">
        <v>6</v>
      </c>
      <c r="CV106">
        <v>2</v>
      </c>
      <c r="CW106">
        <v>3</v>
      </c>
      <c r="CX106" s="100" t="s">
        <v>257</v>
      </c>
      <c r="CY106">
        <v>5</v>
      </c>
      <c r="CZ106">
        <v>1</v>
      </c>
      <c r="DA106">
        <v>3</v>
      </c>
      <c r="DB106">
        <v>1</v>
      </c>
      <c r="DC106">
        <v>3</v>
      </c>
      <c r="DD106">
        <v>4</v>
      </c>
      <c r="DE106">
        <v>5</v>
      </c>
      <c r="DF106">
        <v>6</v>
      </c>
      <c r="DG106">
        <v>4</v>
      </c>
      <c r="DH106" s="100" t="s">
        <v>223</v>
      </c>
      <c r="DI106" s="100" t="s">
        <v>223</v>
      </c>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row>
    <row r="107" spans="1:145" s="27" customFormat="1" ht="14">
      <c r="A107" s="84">
        <v>43857.66238425926</v>
      </c>
      <c r="B107" s="27" t="str">
        <f ca="1">IFERROR(__xludf.DUMMYFUNCTION("""COMPUTED_VALUE"""),"D00280")</f>
        <v>D00280</v>
      </c>
      <c r="C107" s="86">
        <f t="shared" si="4"/>
        <v>106</v>
      </c>
      <c r="D107" s="27" t="s">
        <v>139</v>
      </c>
      <c r="E107" s="27" t="s">
        <v>19</v>
      </c>
      <c r="F107" s="27">
        <v>10</v>
      </c>
      <c r="G107" s="27">
        <f ca="1">IFERROR(__xludf.DUMMYFUNCTION("""COMPUTED_VALUE"""),21.9)</f>
        <v>21.9</v>
      </c>
      <c r="H107" s="27">
        <f ca="1">IFERROR(__xludf.DUMMYFUNCTION("""COMPUTED_VALUE"""),41.1)</f>
        <v>41.1</v>
      </c>
      <c r="I107" s="27">
        <v>756</v>
      </c>
      <c r="J107" s="27">
        <v>0.7</v>
      </c>
      <c r="K107" s="27">
        <v>134</v>
      </c>
      <c r="L107" s="27">
        <v>0.60000000000000009</v>
      </c>
      <c r="M107" s="27">
        <v>20.6659907624108</v>
      </c>
      <c r="N107" s="27">
        <v>0.02</v>
      </c>
      <c r="O107" s="27">
        <v>54</v>
      </c>
      <c r="P107" s="27">
        <v>0</v>
      </c>
      <c r="R107" s="27">
        <f ca="1">IFERROR(__xludf.DUMMYFUNCTION("""COMPUTED_VALUE"""),192)</f>
        <v>192</v>
      </c>
      <c r="S107" s="27">
        <f ca="1">IFERROR(__xludf.DUMMYFUNCTION("""COMPUTED_VALUE"""),275)</f>
        <v>275</v>
      </c>
      <c r="T107" s="27">
        <f ca="1">IFERROR(__xludf.DUMMYFUNCTION("""COMPUTED_VALUE"""),164.6)</f>
        <v>164.6</v>
      </c>
      <c r="V107" s="27">
        <f t="shared" ca="1" si="5"/>
        <v>233.5</v>
      </c>
      <c r="AD107" s="27">
        <v>4</v>
      </c>
      <c r="AF107" t="str">
        <f ca="1">IFERROR(__xludf.DUMMYFUNCTION("""COMPUTED_VALUE"""),"Semi private (2-5 desks)")</f>
        <v>Semi private (2-5 desks)</v>
      </c>
      <c r="AG107" t="str">
        <f ca="1">IFERROR(__xludf.DUMMYFUNCTION("""COMPUTED_VALUE"""),"No")</f>
        <v>No</v>
      </c>
      <c r="AH107" t="str">
        <f ca="1">IFERROR(__xludf.DUMMYFUNCTION("""COMPUTED_VALUE"""),"Yes")</f>
        <v>Yes</v>
      </c>
      <c r="AI107" t="str">
        <f ca="1">IFERROR(__xludf.DUMMYFUNCTION("""COMPUTED_VALUE"""),"Yes")</f>
        <v>Yes</v>
      </c>
      <c r="AJ107" t="str">
        <f ca="1">IFERROR(__xludf.DUMMYFUNCTION("""COMPUTED_VALUE"""),"Yes")</f>
        <v>Yes</v>
      </c>
      <c r="AK107">
        <v>0</v>
      </c>
      <c r="AL107"/>
      <c r="AM107" t="str">
        <f ca="1">IFERROR(__xludf.DUMMYFUNCTION("""COMPUTED_VALUE"""),"laminate")</f>
        <v>laminate</v>
      </c>
      <c r="AN107" t="str">
        <f ca="1">IFERROR(__xludf.DUMMYFUNCTION("""COMPUTED_VALUE"""),"white")</f>
        <v>white</v>
      </c>
      <c r="AO107" t="str">
        <f ca="1">IFERROR(__xludf.DUMMYFUNCTION("""COMPUTED_VALUE"""),"Office chair")</f>
        <v>Office chair</v>
      </c>
      <c r="AP107" t="str">
        <f ca="1">IFERROR(__xludf.DUMMYFUNCTION("""COMPUTED_VALUE"""),"cloth")</f>
        <v>cloth</v>
      </c>
      <c r="AQ107" t="str">
        <f ca="1">IFERROR(__xludf.DUMMYFUNCTION("""COMPUTED_VALUE"""),"Carpet")</f>
        <v>Carpet</v>
      </c>
      <c r="AR107" t="str">
        <f ca="1">IFERROR(__xludf.DUMMYFUNCTION("""COMPUTED_VALUE"""),"Grey")</f>
        <v>Grey</v>
      </c>
      <c r="AS107" t="str">
        <f ca="1">IFERROR(__xludf.DUMMYFUNCTION("""COMPUTED_VALUE"""),"wood")</f>
        <v>wood</v>
      </c>
      <c r="AT107" t="str">
        <f ca="1">IFERROR(__xludf.DUMMYFUNCTION("""COMPUTED_VALUE"""),"wood and white")</f>
        <v>wood and white</v>
      </c>
      <c r="AU107" t="str">
        <f ca="1">IFERROR(__xludf.DUMMYFUNCTION("""COMPUTED_VALUE"""),"NA")</f>
        <v>NA</v>
      </c>
      <c r="AV107" t="str">
        <f ca="1">IFERROR(__xludf.DUMMYFUNCTION("""COMPUTED_VALUE"""),"No")</f>
        <v>No</v>
      </c>
      <c r="AW107">
        <f ca="1">IFERROR(__xludf.DUMMYFUNCTION("""COMPUTED_VALUE"""),192)</f>
        <v>192</v>
      </c>
      <c r="AX107">
        <f ca="1">IFERROR(__xludf.DUMMYFUNCTION("""COMPUTED_VALUE"""),275)</f>
        <v>275</v>
      </c>
      <c r="AY107">
        <f ca="1">IFERROR(__xludf.DUMMYFUNCTION("""COMPUTED_VALUE"""),164.6)</f>
        <v>164.6</v>
      </c>
      <c r="AZ107" t="str">
        <f ca="1">IFERROR(__xludf.DUMMYFUNCTION("""COMPUTED_VALUE"""),"No")</f>
        <v>No</v>
      </c>
      <c r="BA107">
        <f ca="1">IFERROR(__xludf.DUMMYFUNCTION("""COMPUTED_VALUE"""),3.7)</f>
        <v>3.7</v>
      </c>
      <c r="BB107">
        <f ca="1">IFERROR(__xludf.DUMMYFUNCTION("""COMPUTED_VALUE"""),0.7)</f>
        <v>0.7</v>
      </c>
      <c r="BC107" t="str">
        <f ca="1">IFERROR(__xludf.DUMMYFUNCTION("""COMPUTED_VALUE"""),"No")</f>
        <v>No</v>
      </c>
      <c r="BD107">
        <f ca="1">IFERROR(__xludf.DUMMYFUNCTION("""COMPUTED_VALUE"""),1.2)</f>
        <v>1.2</v>
      </c>
      <c r="BE107" t="str">
        <f ca="1">IFERROR(__xludf.DUMMYFUNCTION("""COMPUTED_VALUE"""),"W")</f>
        <v>W</v>
      </c>
      <c r="BF107" t="str">
        <f ca="1">IFERROR(__xludf.DUMMYFUNCTION("""COMPUTED_VALUE"""),"nA")</f>
        <v>nA</v>
      </c>
      <c r="BG107" t="str">
        <f ca="1">IFERROR(__xludf.DUMMYFUNCTION("""COMPUTED_VALUE"""),"na")</f>
        <v>na</v>
      </c>
      <c r="BH107">
        <f ca="1">IFERROR(__xludf.DUMMYFUNCTION("""COMPUTED_VALUE"""),1.52)</f>
        <v>1.52</v>
      </c>
      <c r="BI107">
        <f ca="1">IFERROR(__xludf.DUMMYFUNCTION("""COMPUTED_VALUE"""),0.75)</f>
        <v>0.75</v>
      </c>
      <c r="BJ107">
        <f ca="1">IFERROR(__xludf.DUMMYFUNCTION("""COMPUTED_VALUE"""),0.83)</f>
        <v>0.83</v>
      </c>
      <c r="BK107" t="str">
        <f ca="1">IFERROR(__xludf.DUMMYFUNCTION("""COMPUTED_VALUE"""),"nA")</f>
        <v>nA</v>
      </c>
      <c r="BL107">
        <v>2</v>
      </c>
      <c r="BM107">
        <v>1</v>
      </c>
      <c r="BN107">
        <v>1</v>
      </c>
      <c r="BO107">
        <v>2</v>
      </c>
      <c r="BP107">
        <v>3</v>
      </c>
      <c r="BQ107">
        <v>2</v>
      </c>
      <c r="BR107">
        <v>4</v>
      </c>
      <c r="BS107">
        <v>1</v>
      </c>
      <c r="BT107">
        <v>2</v>
      </c>
      <c r="BU107">
        <v>4</v>
      </c>
      <c r="BV107">
        <v>3</v>
      </c>
      <c r="BW107">
        <v>3</v>
      </c>
      <c r="BX107">
        <v>2</v>
      </c>
      <c r="BY107">
        <v>3</v>
      </c>
      <c r="BZ107">
        <v>1</v>
      </c>
      <c r="CA107">
        <v>5</v>
      </c>
      <c r="CB107">
        <v>3</v>
      </c>
      <c r="CC107">
        <v>3</v>
      </c>
      <c r="CD107">
        <v>1</v>
      </c>
      <c r="CE107">
        <v>1</v>
      </c>
      <c r="CF107">
        <v>4</v>
      </c>
      <c r="CG107">
        <v>1</v>
      </c>
      <c r="CH107">
        <v>2</v>
      </c>
      <c r="CI107">
        <v>5</v>
      </c>
      <c r="CJ107">
        <v>3</v>
      </c>
      <c r="CK107">
        <v>2</v>
      </c>
      <c r="CL107">
        <v>3</v>
      </c>
      <c r="CM107">
        <v>1</v>
      </c>
      <c r="CN107" s="100" t="s">
        <v>223</v>
      </c>
      <c r="CO107">
        <v>2</v>
      </c>
      <c r="CP107">
        <v>5</v>
      </c>
      <c r="CQ107">
        <v>5</v>
      </c>
      <c r="CR107">
        <v>1</v>
      </c>
      <c r="CS107">
        <v>1</v>
      </c>
      <c r="CT107">
        <v>6</v>
      </c>
      <c r="CU107">
        <v>5</v>
      </c>
      <c r="CV107">
        <v>2</v>
      </c>
      <c r="CW107">
        <v>3</v>
      </c>
      <c r="CX107" s="100" t="s">
        <v>235</v>
      </c>
      <c r="CY107">
        <v>5</v>
      </c>
      <c r="CZ107">
        <v>1</v>
      </c>
      <c r="DA107">
        <v>3</v>
      </c>
      <c r="DB107">
        <v>2</v>
      </c>
      <c r="DC107">
        <v>6</v>
      </c>
      <c r="DD107">
        <v>3</v>
      </c>
      <c r="DE107">
        <v>6</v>
      </c>
      <c r="DF107">
        <v>6</v>
      </c>
      <c r="DG107">
        <v>3</v>
      </c>
      <c r="DH107" s="100" t="s">
        <v>223</v>
      </c>
      <c r="DI107" s="100" t="s">
        <v>223</v>
      </c>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row>
    <row r="108" spans="1:145" s="27" customFormat="1" ht="14">
      <c r="A108" s="84">
        <v>43859.574999999997</v>
      </c>
      <c r="B108" s="27" t="str">
        <f ca="1">IFERROR(__xludf.DUMMYFUNCTION("""COMPUTED_VALUE"""),"B00285")</f>
        <v>B00285</v>
      </c>
      <c r="C108" s="86">
        <f t="shared" si="4"/>
        <v>107</v>
      </c>
      <c r="D108" s="27" t="s">
        <v>139</v>
      </c>
      <c r="E108" s="27" t="s">
        <v>19</v>
      </c>
      <c r="F108" s="27">
        <v>10</v>
      </c>
      <c r="G108" s="27">
        <f ca="1">IFERROR(__xludf.DUMMYFUNCTION("""COMPUTED_VALUE"""),23.2)</f>
        <v>23.2</v>
      </c>
      <c r="H108" s="27">
        <f ca="1">IFERROR(__xludf.DUMMYFUNCTION("""COMPUTED_VALUE"""),47)</f>
        <v>47</v>
      </c>
      <c r="I108" s="27">
        <v>1211</v>
      </c>
      <c r="J108" s="27">
        <v>0.9</v>
      </c>
      <c r="K108" s="27">
        <v>157</v>
      </c>
      <c r="L108" s="27">
        <v>0.6</v>
      </c>
      <c r="M108" s="27">
        <v>21.361896043692099</v>
      </c>
      <c r="N108" s="27">
        <v>0.01</v>
      </c>
      <c r="O108" s="27">
        <v>42.7</v>
      </c>
      <c r="P108" s="27">
        <v>0</v>
      </c>
      <c r="R108" s="27">
        <f ca="1">IFERROR(__xludf.DUMMYFUNCTION("""COMPUTED_VALUE"""),1462)</f>
        <v>1462</v>
      </c>
      <c r="S108" s="27">
        <f ca="1">IFERROR(__xludf.DUMMYFUNCTION("""COMPUTED_VALUE"""),1007)</f>
        <v>1007</v>
      </c>
      <c r="T108" s="27">
        <f ca="1">IFERROR(__xludf.DUMMYFUNCTION("""COMPUTED_VALUE"""),353)</f>
        <v>353</v>
      </c>
      <c r="V108" s="27">
        <f t="shared" ca="1" si="5"/>
        <v>1234.5</v>
      </c>
      <c r="AD108" s="27">
        <v>5</v>
      </c>
      <c r="AF108" t="str">
        <f ca="1">IFERROR(__xludf.DUMMYFUNCTION("""COMPUTED_VALUE"""),"Private")</f>
        <v>Private</v>
      </c>
      <c r="AG108" t="str">
        <f ca="1">IFERROR(__xludf.DUMMYFUNCTION("""COMPUTED_VALUE"""),"No")</f>
        <v>No</v>
      </c>
      <c r="AH108" t="str">
        <f ca="1">IFERROR(__xludf.DUMMYFUNCTION("""COMPUTED_VALUE"""),"No")</f>
        <v>No</v>
      </c>
      <c r="AI108" t="str">
        <f ca="1">IFERROR(__xludf.DUMMYFUNCTION("""COMPUTED_VALUE"""),"No")</f>
        <v>No</v>
      </c>
      <c r="AJ108" t="str">
        <f ca="1">IFERROR(__xludf.DUMMYFUNCTION("""COMPUTED_VALUE"""),"No")</f>
        <v>No</v>
      </c>
      <c r="AK108">
        <v>0</v>
      </c>
      <c r="AL108"/>
      <c r="AM108" t="str">
        <f ca="1">IFERROR(__xludf.DUMMYFUNCTION("""COMPUTED_VALUE"""),"laminate")</f>
        <v>laminate</v>
      </c>
      <c r="AN108" t="str">
        <f ca="1">IFERROR(__xludf.DUMMYFUNCTION("""COMPUTED_VALUE"""),"white")</f>
        <v>white</v>
      </c>
      <c r="AO108" t="str">
        <f ca="1">IFERROR(__xludf.DUMMYFUNCTION("""COMPUTED_VALUE"""),"Office chair")</f>
        <v>Office chair</v>
      </c>
      <c r="AP108" t="str">
        <f ca="1">IFERROR(__xludf.DUMMYFUNCTION("""COMPUTED_VALUE"""),"cloth")</f>
        <v>cloth</v>
      </c>
      <c r="AQ108" t="str">
        <f ca="1">IFERROR(__xludf.DUMMYFUNCTION("""COMPUTED_VALUE"""),"Carpet")</f>
        <v>Carpet</v>
      </c>
      <c r="AR108" t="str">
        <f ca="1">IFERROR(__xludf.DUMMYFUNCTION("""COMPUTED_VALUE"""),"Grey")</f>
        <v>Grey</v>
      </c>
      <c r="AS108" t="str">
        <f ca="1">IFERROR(__xludf.DUMMYFUNCTION("""COMPUTED_VALUE"""),"White")</f>
        <v>White</v>
      </c>
      <c r="AT108" t="str">
        <f ca="1">IFERROR(__xludf.DUMMYFUNCTION("""COMPUTED_VALUE"""),"wood and white")</f>
        <v>wood and white</v>
      </c>
      <c r="AU108" t="str">
        <f ca="1">IFERROR(__xludf.DUMMYFUNCTION("""COMPUTED_VALUE"""),"NA")</f>
        <v>NA</v>
      </c>
      <c r="AV108" t="str">
        <f ca="1">IFERROR(__xludf.DUMMYFUNCTION("""COMPUTED_VALUE"""),"Yes")</f>
        <v>Yes</v>
      </c>
      <c r="AW108">
        <f ca="1">IFERROR(__xludf.DUMMYFUNCTION("""COMPUTED_VALUE"""),1462)</f>
        <v>1462</v>
      </c>
      <c r="AX108">
        <f ca="1">IFERROR(__xludf.DUMMYFUNCTION("""COMPUTED_VALUE"""),1007)</f>
        <v>1007</v>
      </c>
      <c r="AY108">
        <f ca="1">IFERROR(__xludf.DUMMYFUNCTION("""COMPUTED_VALUE"""),353)</f>
        <v>353</v>
      </c>
      <c r="AZ108" t="str">
        <f ca="1">IFERROR(__xludf.DUMMYFUNCTION("""COMPUTED_VALUE"""),"No")</f>
        <v>No</v>
      </c>
      <c r="BA108">
        <f ca="1">IFERROR(__xludf.DUMMYFUNCTION("""COMPUTED_VALUE"""),3.7)</f>
        <v>3.7</v>
      </c>
      <c r="BB108" t="str">
        <f ca="1">IFERROR(__xludf.DUMMYFUNCTION("""COMPUTED_VALUE"""),"NA")</f>
        <v>NA</v>
      </c>
      <c r="BC108" t="str">
        <f ca="1">IFERROR(__xludf.DUMMYFUNCTION("""COMPUTED_VALUE"""),"No")</f>
        <v>No</v>
      </c>
      <c r="BD108">
        <f ca="1">IFERROR(__xludf.DUMMYFUNCTION("""COMPUTED_VALUE"""),1.4)</f>
        <v>1.4</v>
      </c>
      <c r="BE108" t="str">
        <f ca="1">IFERROR(__xludf.DUMMYFUNCTION("""COMPUTED_VALUE"""),"NW")</f>
        <v>NW</v>
      </c>
      <c r="BF108" t="str">
        <f ca="1">IFERROR(__xludf.DUMMYFUNCTION("""COMPUTED_VALUE"""),"NA")</f>
        <v>NA</v>
      </c>
      <c r="BG108" t="str">
        <f ca="1">IFERROR(__xludf.DUMMYFUNCTION("""COMPUTED_VALUE"""),"NA")</f>
        <v>NA</v>
      </c>
      <c r="BH108">
        <f ca="1">IFERROR(__xludf.DUMMYFUNCTION("""COMPUTED_VALUE"""),2.4)</f>
        <v>2.4</v>
      </c>
      <c r="BI108">
        <f ca="1">IFERROR(__xludf.DUMMYFUNCTION("""COMPUTED_VALUE"""),0.75)</f>
        <v>0.75</v>
      </c>
      <c r="BJ108">
        <f ca="1">IFERROR(__xludf.DUMMYFUNCTION("""COMPUTED_VALUE"""),0.75)</f>
        <v>0.75</v>
      </c>
      <c r="BK108" t="str">
        <f ca="1">IFERROR(__xludf.DUMMYFUNCTION("""COMPUTED_VALUE"""),"NA")</f>
        <v>NA</v>
      </c>
      <c r="BL108">
        <v>2</v>
      </c>
      <c r="BM108">
        <v>4</v>
      </c>
      <c r="BN108">
        <v>4</v>
      </c>
      <c r="BO108">
        <v>2</v>
      </c>
      <c r="BP108">
        <v>2</v>
      </c>
      <c r="BQ108">
        <v>5</v>
      </c>
      <c r="BR108">
        <v>5</v>
      </c>
      <c r="BS108">
        <v>2</v>
      </c>
      <c r="BT108">
        <v>2</v>
      </c>
      <c r="BU108">
        <v>5</v>
      </c>
      <c r="BV108">
        <v>6</v>
      </c>
      <c r="BW108">
        <v>5</v>
      </c>
      <c r="BX108">
        <v>3</v>
      </c>
      <c r="BY108">
        <v>3</v>
      </c>
      <c r="BZ108">
        <v>1</v>
      </c>
      <c r="CA108">
        <v>7</v>
      </c>
      <c r="CB108">
        <v>3</v>
      </c>
      <c r="CC108">
        <v>5</v>
      </c>
      <c r="CD108">
        <v>2</v>
      </c>
      <c r="CE108">
        <v>1</v>
      </c>
      <c r="CF108">
        <v>3</v>
      </c>
      <c r="CG108">
        <v>2</v>
      </c>
      <c r="CH108">
        <v>2</v>
      </c>
      <c r="CI108">
        <v>6</v>
      </c>
      <c r="CJ108">
        <v>5</v>
      </c>
      <c r="CK108">
        <v>3</v>
      </c>
      <c r="CL108">
        <v>3</v>
      </c>
      <c r="CM108">
        <v>1</v>
      </c>
      <c r="CN108" s="100" t="s">
        <v>223</v>
      </c>
      <c r="CO108">
        <v>1</v>
      </c>
      <c r="CP108">
        <v>6</v>
      </c>
      <c r="CQ108">
        <v>5</v>
      </c>
      <c r="CR108">
        <v>2</v>
      </c>
      <c r="CS108">
        <v>1</v>
      </c>
      <c r="CT108">
        <v>3</v>
      </c>
      <c r="CU108">
        <v>4</v>
      </c>
      <c r="CV108">
        <v>2</v>
      </c>
      <c r="CW108">
        <v>3</v>
      </c>
      <c r="CX108" s="100" t="s">
        <v>15</v>
      </c>
      <c r="CY108">
        <v>6</v>
      </c>
      <c r="CZ108">
        <v>1</v>
      </c>
      <c r="DA108">
        <v>3</v>
      </c>
      <c r="DB108">
        <v>1</v>
      </c>
      <c r="DC108">
        <v>5</v>
      </c>
      <c r="DD108">
        <v>3</v>
      </c>
      <c r="DE108">
        <v>4</v>
      </c>
      <c r="DF108">
        <v>4</v>
      </c>
      <c r="DG108">
        <v>1</v>
      </c>
      <c r="DH108" s="100" t="s">
        <v>550</v>
      </c>
      <c r="DI108" s="100" t="s">
        <v>223</v>
      </c>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row>
    <row r="109" spans="1:145" s="27" customFormat="1" ht="14">
      <c r="A109" s="84">
        <v>43859.596643518518</v>
      </c>
      <c r="B109" s="27" t="str">
        <f ca="1">IFERROR(__xludf.DUMMYFUNCTION("""COMPUTED_VALUE"""),"B00270")</f>
        <v>B00270</v>
      </c>
      <c r="C109" s="86">
        <f t="shared" si="4"/>
        <v>108</v>
      </c>
      <c r="D109" s="27" t="s">
        <v>139</v>
      </c>
      <c r="E109" s="27" t="s">
        <v>19</v>
      </c>
      <c r="F109" s="27">
        <v>10</v>
      </c>
      <c r="G109" s="27">
        <f ca="1">IFERROR(__xludf.DUMMYFUNCTION("""COMPUTED_VALUE"""),24.1)</f>
        <v>24.1</v>
      </c>
      <c r="H109" s="27">
        <f ca="1">IFERROR(__xludf.DUMMYFUNCTION("""COMPUTED_VALUE"""),42.8)</f>
        <v>42.8</v>
      </c>
      <c r="I109" s="27">
        <v>1356</v>
      </c>
      <c r="J109" s="27">
        <v>1</v>
      </c>
      <c r="K109" s="27">
        <v>164</v>
      </c>
      <c r="L109" s="27">
        <v>0.6100000000000001</v>
      </c>
      <c r="M109" s="27">
        <v>22.557607076748901</v>
      </c>
      <c r="N109" s="27">
        <v>0.12</v>
      </c>
      <c r="O109" s="27">
        <v>39</v>
      </c>
      <c r="P109" s="27">
        <f ca="1">IFERROR(__xludf.DUMMYFUNCTION("""COMPUTED_VALUE"""),1.25)</f>
        <v>1.25</v>
      </c>
      <c r="R109" s="27">
        <f ca="1">IFERROR(__xludf.DUMMYFUNCTION("""COMPUTED_VALUE"""),587)</f>
        <v>587</v>
      </c>
      <c r="S109" s="27">
        <f ca="1">IFERROR(__xludf.DUMMYFUNCTION("""COMPUTED_VALUE"""),1676)</f>
        <v>1676</v>
      </c>
      <c r="T109" s="27">
        <f ca="1">IFERROR(__xludf.DUMMYFUNCTION("""COMPUTED_VALUE"""),537)</f>
        <v>537</v>
      </c>
      <c r="V109" s="27">
        <f t="shared" ca="1" si="5"/>
        <v>1131.5</v>
      </c>
      <c r="AD109" s="27">
        <v>4</v>
      </c>
      <c r="AF109" t="str">
        <f ca="1">IFERROR(__xludf.DUMMYFUNCTION("""COMPUTED_VALUE"""),"Semi private (2-5 desks)")</f>
        <v>Semi private (2-5 desks)</v>
      </c>
      <c r="AG109" t="str">
        <f ca="1">IFERROR(__xludf.DUMMYFUNCTION("""COMPUTED_VALUE"""),"No")</f>
        <v>No</v>
      </c>
      <c r="AH109" t="str">
        <f ca="1">IFERROR(__xludf.DUMMYFUNCTION("""COMPUTED_VALUE"""),"Yes")</f>
        <v>Yes</v>
      </c>
      <c r="AI109" t="str">
        <f ca="1">IFERROR(__xludf.DUMMYFUNCTION("""COMPUTED_VALUE"""),"Yes")</f>
        <v>Yes</v>
      </c>
      <c r="AJ109" t="str">
        <f ca="1">IFERROR(__xludf.DUMMYFUNCTION("""COMPUTED_VALUE"""),"Yes")</f>
        <v>Yes</v>
      </c>
      <c r="AK109">
        <f t="array" ref="AK109:AK118">TRANSPOSE('[1]Garment Insulation'!R138:ER138)</f>
        <v>0</v>
      </c>
      <c r="AL109"/>
      <c r="AM109" t="str">
        <f ca="1">IFERROR(__xludf.DUMMYFUNCTION("""COMPUTED_VALUE"""),"laminate")</f>
        <v>laminate</v>
      </c>
      <c r="AN109" t="str">
        <f ca="1">IFERROR(__xludf.DUMMYFUNCTION("""COMPUTED_VALUE"""),"white")</f>
        <v>white</v>
      </c>
      <c r="AO109" t="str">
        <f ca="1">IFERROR(__xludf.DUMMYFUNCTION("""COMPUTED_VALUE"""),"Office chair")</f>
        <v>Office chair</v>
      </c>
      <c r="AP109" t="str">
        <f ca="1">IFERROR(__xludf.DUMMYFUNCTION("""COMPUTED_VALUE"""),"cloth")</f>
        <v>cloth</v>
      </c>
      <c r="AQ109" t="str">
        <f ca="1">IFERROR(__xludf.DUMMYFUNCTION("""COMPUTED_VALUE"""),"Carpet")</f>
        <v>Carpet</v>
      </c>
      <c r="AR109" t="str">
        <f ca="1">IFERROR(__xludf.DUMMYFUNCTION("""COMPUTED_VALUE"""),"Grey")</f>
        <v>Grey</v>
      </c>
      <c r="AS109" t="str">
        <f ca="1">IFERROR(__xludf.DUMMYFUNCTION("""COMPUTED_VALUE"""),"White")</f>
        <v>White</v>
      </c>
      <c r="AT109" t="str">
        <f ca="1">IFERROR(__xludf.DUMMYFUNCTION("""COMPUTED_VALUE"""),"White")</f>
        <v>White</v>
      </c>
      <c r="AU109" t="str">
        <f ca="1">IFERROR(__xludf.DUMMYFUNCTION("""COMPUTED_VALUE"""),"NA")</f>
        <v>NA</v>
      </c>
      <c r="AV109" t="str">
        <f ca="1">IFERROR(__xludf.DUMMYFUNCTION("""COMPUTED_VALUE"""),"No")</f>
        <v>No</v>
      </c>
      <c r="AW109">
        <f ca="1">IFERROR(__xludf.DUMMYFUNCTION("""COMPUTED_VALUE"""),587)</f>
        <v>587</v>
      </c>
      <c r="AX109">
        <f ca="1">IFERROR(__xludf.DUMMYFUNCTION("""COMPUTED_VALUE"""),1676)</f>
        <v>1676</v>
      </c>
      <c r="AY109">
        <f ca="1">IFERROR(__xludf.DUMMYFUNCTION("""COMPUTED_VALUE"""),537)</f>
        <v>537</v>
      </c>
      <c r="AZ109" t="str">
        <f ca="1">IFERROR(__xludf.DUMMYFUNCTION("""COMPUTED_VALUE"""),"No")</f>
        <v>No</v>
      </c>
      <c r="BA109">
        <f ca="1">IFERROR(__xludf.DUMMYFUNCTION("""COMPUTED_VALUE"""),3.5)</f>
        <v>3.5</v>
      </c>
      <c r="BB109">
        <f ca="1">IFERROR(__xludf.DUMMYFUNCTION("""COMPUTED_VALUE"""),1.7)</f>
        <v>1.7</v>
      </c>
      <c r="BC109" t="str">
        <f ca="1">IFERROR(__xludf.DUMMYFUNCTION("""COMPUTED_VALUE"""),"No")</f>
        <v>No</v>
      </c>
      <c r="BD109">
        <f ca="1">IFERROR(__xludf.DUMMYFUNCTION("""COMPUTED_VALUE"""),1.4)</f>
        <v>1.4</v>
      </c>
      <c r="BE109" t="str">
        <f ca="1">IFERROR(__xludf.DUMMYFUNCTION("""COMPUTED_VALUE"""),"NW")</f>
        <v>NW</v>
      </c>
      <c r="BF109" t="str">
        <f ca="1">IFERROR(__xludf.DUMMYFUNCTION("""COMPUTED_VALUE"""),"NA")</f>
        <v>NA</v>
      </c>
      <c r="BG109" t="str">
        <f ca="1">IFERROR(__xludf.DUMMYFUNCTION("""COMPUTED_VALUE"""),"NA")</f>
        <v>NA</v>
      </c>
      <c r="BH109">
        <f ca="1">IFERROR(__xludf.DUMMYFUNCTION("""COMPUTED_VALUE"""),2.21)</f>
        <v>2.21</v>
      </c>
      <c r="BI109">
        <f ca="1">IFERROR(__xludf.DUMMYFUNCTION("""COMPUTED_VALUE"""),0.75)</f>
        <v>0.75</v>
      </c>
      <c r="BJ109">
        <f ca="1">IFERROR(__xludf.DUMMYFUNCTION("""COMPUTED_VALUE"""),0.74)</f>
        <v>0.74</v>
      </c>
      <c r="BK109">
        <f ca="1">IFERROR(__xludf.DUMMYFUNCTION("""COMPUTED_VALUE"""),1.25)</f>
        <v>1.25</v>
      </c>
      <c r="BL109">
        <v>2</v>
      </c>
      <c r="BM109">
        <v>3</v>
      </c>
      <c r="BN109">
        <v>4</v>
      </c>
      <c r="BO109">
        <v>3</v>
      </c>
      <c r="BP109">
        <v>2</v>
      </c>
      <c r="BQ109">
        <v>6</v>
      </c>
      <c r="BR109">
        <v>4</v>
      </c>
      <c r="BS109">
        <v>2</v>
      </c>
      <c r="BT109">
        <v>2</v>
      </c>
      <c r="BU109">
        <v>3</v>
      </c>
      <c r="BV109">
        <v>2</v>
      </c>
      <c r="BW109">
        <v>1</v>
      </c>
      <c r="BX109">
        <v>3</v>
      </c>
      <c r="BY109">
        <v>3</v>
      </c>
      <c r="BZ109">
        <v>1</v>
      </c>
      <c r="CA109">
        <v>5</v>
      </c>
      <c r="CB109">
        <v>6</v>
      </c>
      <c r="CC109">
        <v>6</v>
      </c>
      <c r="CD109">
        <v>2</v>
      </c>
      <c r="CE109">
        <v>1</v>
      </c>
      <c r="CF109">
        <v>6</v>
      </c>
      <c r="CG109">
        <v>1</v>
      </c>
      <c r="CH109">
        <v>3</v>
      </c>
      <c r="CI109">
        <v>5</v>
      </c>
      <c r="CJ109">
        <v>4</v>
      </c>
      <c r="CK109">
        <v>4</v>
      </c>
      <c r="CL109">
        <v>4</v>
      </c>
      <c r="CM109">
        <v>1</v>
      </c>
      <c r="CN109" s="100" t="s">
        <v>223</v>
      </c>
      <c r="CO109">
        <v>1</v>
      </c>
      <c r="CP109">
        <v>7</v>
      </c>
      <c r="CQ109">
        <v>6</v>
      </c>
      <c r="CR109">
        <v>1</v>
      </c>
      <c r="CS109">
        <v>1</v>
      </c>
      <c r="CT109">
        <v>7</v>
      </c>
      <c r="CU109">
        <v>4</v>
      </c>
      <c r="CV109">
        <v>3</v>
      </c>
      <c r="CW109">
        <v>3</v>
      </c>
      <c r="CX109" s="100" t="s">
        <v>257</v>
      </c>
      <c r="CY109">
        <v>4</v>
      </c>
      <c r="CZ109">
        <v>1</v>
      </c>
      <c r="DA109">
        <v>3</v>
      </c>
      <c r="DB109">
        <v>1</v>
      </c>
      <c r="DC109">
        <v>3</v>
      </c>
      <c r="DD109">
        <v>3</v>
      </c>
      <c r="DE109">
        <v>4</v>
      </c>
      <c r="DF109">
        <v>3</v>
      </c>
      <c r="DG109">
        <v>5</v>
      </c>
      <c r="DH109" s="100" t="s">
        <v>223</v>
      </c>
      <c r="DI109" s="100" t="s">
        <v>223</v>
      </c>
      <c r="DJ109"/>
      <c r="DK109"/>
      <c r="DL109"/>
      <c r="DM109"/>
      <c r="DN109"/>
      <c r="DO109"/>
      <c r="DP109"/>
      <c r="DQ109"/>
      <c r="DR109"/>
      <c r="DS109"/>
      <c r="DT109"/>
      <c r="DU109"/>
      <c r="DV109"/>
      <c r="DW109"/>
      <c r="DX109"/>
      <c r="DY109"/>
      <c r="DZ109"/>
      <c r="EA109"/>
    </row>
    <row r="110" spans="1:145" s="27" customFormat="1" ht="14">
      <c r="A110" s="84">
        <v>43859.608969907407</v>
      </c>
      <c r="B110" s="27" t="str">
        <f ca="1">IFERROR(__xludf.DUMMYFUNCTION("""COMPUTED_VALUE"""),"B00360")</f>
        <v>B00360</v>
      </c>
      <c r="C110" s="86">
        <f t="shared" si="4"/>
        <v>109</v>
      </c>
      <c r="D110" s="27" t="s">
        <v>139</v>
      </c>
      <c r="E110" s="27" t="s">
        <v>19</v>
      </c>
      <c r="F110" s="27">
        <v>10</v>
      </c>
      <c r="G110" s="27">
        <f ca="1">IFERROR(__xludf.DUMMYFUNCTION("""COMPUTED_VALUE"""),24.6)</f>
        <v>24.6</v>
      </c>
      <c r="H110" s="27">
        <f ca="1">IFERROR(__xludf.DUMMYFUNCTION("""COMPUTED_VALUE"""),41.7)</f>
        <v>41.7</v>
      </c>
      <c r="I110" s="27">
        <v>891</v>
      </c>
      <c r="J110" s="27">
        <v>0.9</v>
      </c>
      <c r="K110" s="27">
        <v>148</v>
      </c>
      <c r="L110" s="27">
        <v>0.66000000000000014</v>
      </c>
      <c r="M110" s="27">
        <v>23.711569340334599</v>
      </c>
      <c r="N110" s="27">
        <v>0.01</v>
      </c>
      <c r="O110" s="27">
        <v>54.9</v>
      </c>
      <c r="P110" s="27">
        <v>0</v>
      </c>
      <c r="R110" s="27">
        <f ca="1">IFERROR(__xludf.DUMMYFUNCTION("""COMPUTED_VALUE"""),2840)</f>
        <v>2840</v>
      </c>
      <c r="S110" s="27">
        <f ca="1">IFERROR(__xludf.DUMMYFUNCTION("""COMPUTED_VALUE"""),1060)</f>
        <v>1060</v>
      </c>
      <c r="T110" s="27">
        <f ca="1">IFERROR(__xludf.DUMMYFUNCTION("""COMPUTED_VALUE"""),1759)</f>
        <v>1759</v>
      </c>
      <c r="V110" s="27">
        <f t="shared" ca="1" si="5"/>
        <v>1950</v>
      </c>
      <c r="AD110" s="27">
        <v>6</v>
      </c>
      <c r="AF110" t="str">
        <f ca="1">IFERROR(__xludf.DUMMYFUNCTION("""COMPUTED_VALUE"""),"Private")</f>
        <v>Private</v>
      </c>
      <c r="AG110" t="str">
        <f ca="1">IFERROR(__xludf.DUMMYFUNCTION("""COMPUTED_VALUE"""),"No")</f>
        <v>No</v>
      </c>
      <c r="AH110" t="str">
        <f ca="1">IFERROR(__xludf.DUMMYFUNCTION("""COMPUTED_VALUE"""),"No")</f>
        <v>No</v>
      </c>
      <c r="AI110" t="str">
        <f ca="1">IFERROR(__xludf.DUMMYFUNCTION("""COMPUTED_VALUE"""),"No")</f>
        <v>No</v>
      </c>
      <c r="AJ110" t="str">
        <f ca="1">IFERROR(__xludf.DUMMYFUNCTION("""COMPUTED_VALUE"""),"No")</f>
        <v>No</v>
      </c>
      <c r="AK110">
        <v>0</v>
      </c>
      <c r="AL110"/>
      <c r="AM110" t="str">
        <f ca="1">IFERROR(__xludf.DUMMYFUNCTION("""COMPUTED_VALUE"""),"laminate")</f>
        <v>laminate</v>
      </c>
      <c r="AN110" t="str">
        <f ca="1">IFERROR(__xludf.DUMMYFUNCTION("""COMPUTED_VALUE"""),"white")</f>
        <v>white</v>
      </c>
      <c r="AO110" t="str">
        <f ca="1">IFERROR(__xludf.DUMMYFUNCTION("""COMPUTED_VALUE"""),"Office chair")</f>
        <v>Office chair</v>
      </c>
      <c r="AP110" t="str">
        <f ca="1">IFERROR(__xludf.DUMMYFUNCTION("""COMPUTED_VALUE"""),"cloth")</f>
        <v>cloth</v>
      </c>
      <c r="AQ110" t="str">
        <f ca="1">IFERROR(__xludf.DUMMYFUNCTION("""COMPUTED_VALUE"""),"Carpet")</f>
        <v>Carpet</v>
      </c>
      <c r="AR110" t="str">
        <f ca="1">IFERROR(__xludf.DUMMYFUNCTION("""COMPUTED_VALUE"""),"Grey")</f>
        <v>Grey</v>
      </c>
      <c r="AS110" t="str">
        <f ca="1">IFERROR(__xludf.DUMMYFUNCTION("""COMPUTED_VALUE"""),"White")</f>
        <v>White</v>
      </c>
      <c r="AT110" t="str">
        <f ca="1">IFERROR(__xludf.DUMMYFUNCTION("""COMPUTED_VALUE"""),"White")</f>
        <v>White</v>
      </c>
      <c r="AU110" t="str">
        <f ca="1">IFERROR(__xludf.DUMMYFUNCTION("""COMPUTED_VALUE"""),"NA")</f>
        <v>NA</v>
      </c>
      <c r="AV110" t="str">
        <f ca="1">IFERROR(__xludf.DUMMYFUNCTION("""COMPUTED_VALUE"""),"No")</f>
        <v>No</v>
      </c>
      <c r="AW110">
        <f ca="1">IFERROR(__xludf.DUMMYFUNCTION("""COMPUTED_VALUE"""),2840)</f>
        <v>2840</v>
      </c>
      <c r="AX110">
        <f ca="1">IFERROR(__xludf.DUMMYFUNCTION("""COMPUTED_VALUE"""),1060)</f>
        <v>1060</v>
      </c>
      <c r="AY110">
        <f ca="1">IFERROR(__xludf.DUMMYFUNCTION("""COMPUTED_VALUE"""),1759)</f>
        <v>1759</v>
      </c>
      <c r="AZ110" t="str">
        <f ca="1">IFERROR(__xludf.DUMMYFUNCTION("""COMPUTED_VALUE"""),"No")</f>
        <v>No</v>
      </c>
      <c r="BA110">
        <f ca="1">IFERROR(__xludf.DUMMYFUNCTION("""COMPUTED_VALUE"""),3.1)</f>
        <v>3.1</v>
      </c>
      <c r="BB110" t="str">
        <f ca="1">IFERROR(__xludf.DUMMYFUNCTION("""COMPUTED_VALUE"""),"NA")</f>
        <v>NA</v>
      </c>
      <c r="BC110" t="str">
        <f ca="1">IFERROR(__xludf.DUMMYFUNCTION("""COMPUTED_VALUE"""),"No")</f>
        <v>No</v>
      </c>
      <c r="BD110">
        <f ca="1">IFERROR(__xludf.DUMMYFUNCTION("""COMPUTED_VALUE"""),2.3)</f>
        <v>2.2999999999999998</v>
      </c>
      <c r="BE110" t="str">
        <f ca="1">IFERROR(__xludf.DUMMYFUNCTION("""COMPUTED_VALUE"""),"SW")</f>
        <v>SW</v>
      </c>
      <c r="BF110" t="str">
        <f ca="1">IFERROR(__xludf.DUMMYFUNCTION("""COMPUTED_VALUE"""),"NA")</f>
        <v>NA</v>
      </c>
      <c r="BG110" t="str">
        <f ca="1">IFERROR(__xludf.DUMMYFUNCTION("""COMPUTED_VALUE"""),"NA")</f>
        <v>NA</v>
      </c>
      <c r="BH110">
        <f ca="1">IFERROR(__xludf.DUMMYFUNCTION("""COMPUTED_VALUE"""),385)</f>
        <v>385</v>
      </c>
      <c r="BI110">
        <f ca="1">IFERROR(__xludf.DUMMYFUNCTION("""COMPUTED_VALUE"""),0.75)</f>
        <v>0.75</v>
      </c>
      <c r="BJ110">
        <f ca="1">IFERROR(__xludf.DUMMYFUNCTION("""COMPUTED_VALUE"""),0.75)</f>
        <v>0.75</v>
      </c>
      <c r="BK110" t="str">
        <f ca="1">IFERROR(__xludf.DUMMYFUNCTION("""COMPUTED_VALUE"""),"na")</f>
        <v>na</v>
      </c>
      <c r="BL110">
        <v>1</v>
      </c>
      <c r="BM110">
        <v>3</v>
      </c>
      <c r="BN110">
        <v>4</v>
      </c>
      <c r="BO110">
        <v>3</v>
      </c>
      <c r="BP110">
        <v>2</v>
      </c>
      <c r="BQ110">
        <v>5</v>
      </c>
      <c r="BR110">
        <v>6</v>
      </c>
      <c r="BS110">
        <v>2</v>
      </c>
      <c r="BT110">
        <v>1</v>
      </c>
      <c r="BU110">
        <v>7</v>
      </c>
      <c r="BV110">
        <v>5</v>
      </c>
      <c r="BW110">
        <v>6</v>
      </c>
      <c r="BX110">
        <v>4</v>
      </c>
      <c r="BY110">
        <v>3</v>
      </c>
      <c r="BZ110">
        <v>2</v>
      </c>
      <c r="CA110">
        <v>7</v>
      </c>
      <c r="CB110">
        <v>5</v>
      </c>
      <c r="CC110">
        <v>6</v>
      </c>
      <c r="CD110">
        <v>2</v>
      </c>
      <c r="CE110">
        <v>1</v>
      </c>
      <c r="CF110">
        <v>7</v>
      </c>
      <c r="CG110">
        <v>1</v>
      </c>
      <c r="CH110">
        <v>3</v>
      </c>
      <c r="CI110">
        <v>4</v>
      </c>
      <c r="CJ110">
        <v>3</v>
      </c>
      <c r="CK110">
        <v>5</v>
      </c>
      <c r="CL110">
        <v>3</v>
      </c>
      <c r="CM110">
        <v>1</v>
      </c>
      <c r="CN110" s="100" t="s">
        <v>223</v>
      </c>
      <c r="CO110">
        <v>1</v>
      </c>
      <c r="CP110">
        <v>7</v>
      </c>
      <c r="CQ110">
        <v>5</v>
      </c>
      <c r="CR110">
        <v>1</v>
      </c>
      <c r="CS110">
        <v>1</v>
      </c>
      <c r="CT110">
        <v>7</v>
      </c>
      <c r="CU110">
        <v>6</v>
      </c>
      <c r="CV110">
        <v>2</v>
      </c>
      <c r="CW110">
        <v>3</v>
      </c>
      <c r="CX110" s="100" t="s">
        <v>15</v>
      </c>
      <c r="CY110">
        <v>7</v>
      </c>
      <c r="CZ110">
        <v>1</v>
      </c>
      <c r="DA110">
        <v>3</v>
      </c>
      <c r="DB110">
        <v>2</v>
      </c>
      <c r="DC110">
        <v>7</v>
      </c>
      <c r="DD110">
        <v>3</v>
      </c>
      <c r="DE110">
        <v>6</v>
      </c>
      <c r="DF110">
        <v>7</v>
      </c>
      <c r="DG110">
        <v>2</v>
      </c>
      <c r="DH110" s="100" t="s">
        <v>551</v>
      </c>
      <c r="DI110" s="100" t="s">
        <v>223</v>
      </c>
      <c r="DJ110"/>
      <c r="DK110"/>
      <c r="DL110"/>
      <c r="DM110"/>
      <c r="DN110"/>
      <c r="DO110"/>
      <c r="DP110"/>
      <c r="DQ110"/>
      <c r="DR110"/>
      <c r="DS110"/>
      <c r="DT110"/>
      <c r="DU110"/>
      <c r="DV110"/>
      <c r="DW110"/>
      <c r="DX110"/>
      <c r="DY110"/>
      <c r="DZ110"/>
      <c r="EA110"/>
    </row>
    <row r="111" spans="1:145" s="27" customFormat="1" ht="28">
      <c r="A111" s="84">
        <v>43859.622858796298</v>
      </c>
      <c r="B111" s="27" t="str">
        <f ca="1">IFERROR(__xludf.DUMMYFUNCTION("""COMPUTED_VALUE"""),"B00345")</f>
        <v>B00345</v>
      </c>
      <c r="C111" s="86">
        <f t="shared" si="4"/>
        <v>110</v>
      </c>
      <c r="D111" s="27" t="s">
        <v>139</v>
      </c>
      <c r="E111" s="27" t="s">
        <v>19</v>
      </c>
      <c r="F111" s="27">
        <v>10</v>
      </c>
      <c r="G111" s="27">
        <f ca="1">IFERROR(__xludf.DUMMYFUNCTION("""COMPUTED_VALUE"""),23.3)</f>
        <v>23.3</v>
      </c>
      <c r="H111" s="27">
        <f ca="1">IFERROR(__xludf.DUMMYFUNCTION("""COMPUTED_VALUE"""),41.8)</f>
        <v>41.8</v>
      </c>
      <c r="I111" s="27">
        <v>822</v>
      </c>
      <c r="J111" s="27">
        <v>0.8</v>
      </c>
      <c r="K111" s="27">
        <v>142</v>
      </c>
      <c r="L111" s="27">
        <v>0.63</v>
      </c>
      <c r="M111" s="27">
        <v>22.101471052872899</v>
      </c>
      <c r="N111" s="27">
        <v>0.03</v>
      </c>
      <c r="O111" s="27">
        <v>41.1</v>
      </c>
      <c r="P111" s="27">
        <f ca="1">IFERROR(__xludf.DUMMYFUNCTION("""COMPUTED_VALUE"""),1.25)</f>
        <v>1.25</v>
      </c>
      <c r="R111" s="27">
        <f ca="1">IFERROR(__xludf.DUMMYFUNCTION("""COMPUTED_VALUE"""),252)</f>
        <v>252</v>
      </c>
      <c r="S111" s="27">
        <f ca="1">IFERROR(__xludf.DUMMYFUNCTION("""COMPUTED_VALUE"""),420)</f>
        <v>420</v>
      </c>
      <c r="T111" s="27">
        <f ca="1">IFERROR(__xludf.DUMMYFUNCTION("""COMPUTED_VALUE"""),712)</f>
        <v>712</v>
      </c>
      <c r="V111" s="27">
        <f t="shared" ca="1" si="5"/>
        <v>336</v>
      </c>
      <c r="AD111" s="27">
        <v>6</v>
      </c>
      <c r="AF111" t="str">
        <f ca="1">IFERROR(__xludf.DUMMYFUNCTION("""COMPUTED_VALUE"""),"Open plan")</f>
        <v>Open plan</v>
      </c>
      <c r="AG111" t="str">
        <f ca="1">IFERROR(__xludf.DUMMYFUNCTION("""COMPUTED_VALUE"""),"No")</f>
        <v>No</v>
      </c>
      <c r="AH111" t="str">
        <f ca="1">IFERROR(__xludf.DUMMYFUNCTION("""COMPUTED_VALUE"""),"Yes")</f>
        <v>Yes</v>
      </c>
      <c r="AI111" t="str">
        <f ca="1">IFERROR(__xludf.DUMMYFUNCTION("""COMPUTED_VALUE"""),"Yes")</f>
        <v>Yes</v>
      </c>
      <c r="AJ111" t="str">
        <f ca="1">IFERROR(__xludf.DUMMYFUNCTION("""COMPUTED_VALUE"""),"Yes")</f>
        <v>Yes</v>
      </c>
      <c r="AK111">
        <v>0</v>
      </c>
      <c r="AL111"/>
      <c r="AM111" t="str">
        <f ca="1">IFERROR(__xludf.DUMMYFUNCTION("""COMPUTED_VALUE"""),"laminate")</f>
        <v>laminate</v>
      </c>
      <c r="AN111" t="str">
        <f ca="1">IFERROR(__xludf.DUMMYFUNCTION("""COMPUTED_VALUE"""),"white")</f>
        <v>white</v>
      </c>
      <c r="AO111" t="str">
        <f ca="1">IFERROR(__xludf.DUMMYFUNCTION("""COMPUTED_VALUE"""),"Office chair")</f>
        <v>Office chair</v>
      </c>
      <c r="AP111" t="str">
        <f ca="1">IFERROR(__xludf.DUMMYFUNCTION("""COMPUTED_VALUE"""),"cloth")</f>
        <v>cloth</v>
      </c>
      <c r="AQ111" t="str">
        <f ca="1">IFERROR(__xludf.DUMMYFUNCTION("""COMPUTED_VALUE"""),"Carpet")</f>
        <v>Carpet</v>
      </c>
      <c r="AR111" t="str">
        <f ca="1">IFERROR(__xludf.DUMMYFUNCTION("""COMPUTED_VALUE"""),"Grey")</f>
        <v>Grey</v>
      </c>
      <c r="AS111" t="str">
        <f ca="1">IFERROR(__xludf.DUMMYFUNCTION("""COMPUTED_VALUE"""),"White")</f>
        <v>White</v>
      </c>
      <c r="AT111" t="str">
        <f ca="1">IFERROR(__xludf.DUMMYFUNCTION("""COMPUTED_VALUE"""),"wood and white")</f>
        <v>wood and white</v>
      </c>
      <c r="AU111" t="str">
        <f ca="1">IFERROR(__xludf.DUMMYFUNCTION("""COMPUTED_VALUE"""),"gREY")</f>
        <v>gREY</v>
      </c>
      <c r="AV111" t="str">
        <f ca="1">IFERROR(__xludf.DUMMYFUNCTION("""COMPUTED_VALUE"""),"No")</f>
        <v>No</v>
      </c>
      <c r="AW111">
        <f ca="1">IFERROR(__xludf.DUMMYFUNCTION("""COMPUTED_VALUE"""),252)</f>
        <v>252</v>
      </c>
      <c r="AX111">
        <f ca="1">IFERROR(__xludf.DUMMYFUNCTION("""COMPUTED_VALUE"""),420)</f>
        <v>420</v>
      </c>
      <c r="AY111">
        <f ca="1">IFERROR(__xludf.DUMMYFUNCTION("""COMPUTED_VALUE"""),712)</f>
        <v>712</v>
      </c>
      <c r="AZ111" t="str">
        <f ca="1">IFERROR(__xludf.DUMMYFUNCTION("""COMPUTED_VALUE"""),"No")</f>
        <v>No</v>
      </c>
      <c r="BA111">
        <f ca="1">IFERROR(__xludf.DUMMYFUNCTION("""COMPUTED_VALUE"""),3.7)</f>
        <v>3.7</v>
      </c>
      <c r="BB111" t="str">
        <f ca="1">IFERROR(__xludf.DUMMYFUNCTION("""COMPUTED_VALUE"""),"NA")</f>
        <v>NA</v>
      </c>
      <c r="BC111" t="str">
        <f ca="1">IFERROR(__xludf.DUMMYFUNCTION("""COMPUTED_VALUE"""),"No")</f>
        <v>No</v>
      </c>
      <c r="BD111" t="str">
        <f ca="1">IFERROR(__xludf.DUMMYFUNCTION("""COMPUTED_VALUE"""),"NA")</f>
        <v>NA</v>
      </c>
      <c r="BE111" t="str">
        <f ca="1">IFERROR(__xludf.DUMMYFUNCTION("""COMPUTED_VALUE"""),"NA")</f>
        <v>NA</v>
      </c>
      <c r="BF111" t="str">
        <f ca="1">IFERROR(__xludf.DUMMYFUNCTION("""COMPUTED_VALUE"""),"NA")</f>
        <v>NA</v>
      </c>
      <c r="BG111" t="str">
        <f ca="1">IFERROR(__xludf.DUMMYFUNCTION("""COMPUTED_VALUE"""),"NA")</f>
        <v>NA</v>
      </c>
      <c r="BH111">
        <f ca="1">IFERROR(__xludf.DUMMYFUNCTION("""COMPUTED_VALUE"""),1.5)</f>
        <v>1.5</v>
      </c>
      <c r="BI111">
        <f ca="1">IFERROR(__xludf.DUMMYFUNCTION("""COMPUTED_VALUE"""),0.75)</f>
        <v>0.75</v>
      </c>
      <c r="BJ111">
        <f ca="1">IFERROR(__xludf.DUMMYFUNCTION("""COMPUTED_VALUE"""),0.75)</f>
        <v>0.75</v>
      </c>
      <c r="BK111">
        <f ca="1">IFERROR(__xludf.DUMMYFUNCTION("""COMPUTED_VALUE"""),1.25)</f>
        <v>1.25</v>
      </c>
      <c r="BL111">
        <v>2</v>
      </c>
      <c r="BM111">
        <v>2</v>
      </c>
      <c r="BN111">
        <v>3</v>
      </c>
      <c r="BO111">
        <v>1</v>
      </c>
      <c r="BP111">
        <v>2</v>
      </c>
      <c r="BQ111">
        <v>4</v>
      </c>
      <c r="BR111">
        <v>6</v>
      </c>
      <c r="BS111">
        <v>2</v>
      </c>
      <c r="BT111">
        <v>2</v>
      </c>
      <c r="BU111">
        <v>3</v>
      </c>
      <c r="BV111">
        <v>4</v>
      </c>
      <c r="BW111">
        <v>2</v>
      </c>
      <c r="BX111">
        <v>3</v>
      </c>
      <c r="BY111">
        <v>2</v>
      </c>
      <c r="BZ111">
        <v>1</v>
      </c>
      <c r="CA111">
        <v>4</v>
      </c>
      <c r="CB111">
        <v>7</v>
      </c>
      <c r="CC111">
        <v>5</v>
      </c>
      <c r="CD111">
        <v>2</v>
      </c>
      <c r="CE111">
        <v>1</v>
      </c>
      <c r="CF111">
        <v>5</v>
      </c>
      <c r="CG111">
        <v>1</v>
      </c>
      <c r="CH111">
        <v>2</v>
      </c>
      <c r="CI111">
        <v>5</v>
      </c>
      <c r="CJ111">
        <v>5</v>
      </c>
      <c r="CK111">
        <v>3</v>
      </c>
      <c r="CL111">
        <v>5</v>
      </c>
      <c r="CM111">
        <v>2</v>
      </c>
      <c r="CN111" s="100" t="s">
        <v>223</v>
      </c>
      <c r="CO111">
        <v>2</v>
      </c>
      <c r="CP111">
        <v>5</v>
      </c>
      <c r="CQ111">
        <v>5</v>
      </c>
      <c r="CR111">
        <v>2</v>
      </c>
      <c r="CS111">
        <v>3</v>
      </c>
      <c r="CT111">
        <v>3</v>
      </c>
      <c r="CU111">
        <v>5</v>
      </c>
      <c r="CV111">
        <v>2</v>
      </c>
      <c r="CW111">
        <v>3</v>
      </c>
      <c r="CX111" s="100" t="s">
        <v>15</v>
      </c>
      <c r="CY111">
        <v>4</v>
      </c>
      <c r="CZ111">
        <v>1</v>
      </c>
      <c r="DA111">
        <v>2</v>
      </c>
      <c r="DB111">
        <v>2</v>
      </c>
      <c r="DC111">
        <v>3</v>
      </c>
      <c r="DD111">
        <v>3</v>
      </c>
      <c r="DE111">
        <v>5</v>
      </c>
      <c r="DF111">
        <v>4</v>
      </c>
      <c r="DG111">
        <v>5</v>
      </c>
      <c r="DH111" s="100" t="s">
        <v>552</v>
      </c>
      <c r="DI111" s="100" t="s">
        <v>223</v>
      </c>
      <c r="DJ111"/>
      <c r="DK111"/>
      <c r="DL111"/>
      <c r="DM111"/>
      <c r="DN111"/>
      <c r="DO111"/>
      <c r="DP111"/>
      <c r="DQ111"/>
      <c r="DR111"/>
      <c r="DS111"/>
      <c r="DT111"/>
      <c r="DU111"/>
      <c r="DV111"/>
      <c r="DW111"/>
      <c r="DX111"/>
      <c r="DY111"/>
      <c r="DZ111"/>
      <c r="EA111"/>
    </row>
    <row r="112" spans="1:145" s="27" customFormat="1" ht="14">
      <c r="A112" s="84">
        <v>43861.447511574072</v>
      </c>
      <c r="B112" s="27" t="str">
        <f ca="1">IFERROR(__xludf.DUMMYFUNCTION("""COMPUTED_VALUE"""),"B00330")</f>
        <v>B00330</v>
      </c>
      <c r="C112" s="86">
        <f t="shared" si="4"/>
        <v>111</v>
      </c>
      <c r="D112" s="27" t="s">
        <v>139</v>
      </c>
      <c r="E112" s="27" t="s">
        <v>19</v>
      </c>
      <c r="F112" s="27">
        <v>10</v>
      </c>
      <c r="G112" s="27">
        <f ca="1">IFERROR(__xludf.DUMMYFUNCTION("""COMPUTED_VALUE"""),22.3)</f>
        <v>22.3</v>
      </c>
      <c r="H112" s="27">
        <f ca="1">IFERROR(__xludf.DUMMYFUNCTION("""COMPUTED_VALUE"""),43)</f>
        <v>43</v>
      </c>
      <c r="I112" s="27">
        <v>791</v>
      </c>
      <c r="J112" s="27">
        <v>1.3</v>
      </c>
      <c r="K112" s="27">
        <v>158</v>
      </c>
      <c r="L112" s="27">
        <v>0.87000000000000011</v>
      </c>
      <c r="M112" s="27">
        <v>20.921108534052401</v>
      </c>
      <c r="N112" s="27">
        <v>0.02</v>
      </c>
      <c r="O112" s="27">
        <v>41.5</v>
      </c>
      <c r="P112" s="27">
        <f ca="1">IFERROR(__xludf.DUMMYFUNCTION("""COMPUTED_VALUE"""),1.26)</f>
        <v>1.26</v>
      </c>
      <c r="R112" s="27">
        <f ca="1">IFERROR(__xludf.DUMMYFUNCTION("""COMPUTED_VALUE"""),142)</f>
        <v>142</v>
      </c>
      <c r="S112" s="27">
        <f ca="1">IFERROR(__xludf.DUMMYFUNCTION("""COMPUTED_VALUE"""),255)</f>
        <v>255</v>
      </c>
      <c r="T112" s="27">
        <f ca="1">IFERROR(__xludf.DUMMYFUNCTION("""COMPUTED_VALUE"""),250)</f>
        <v>250</v>
      </c>
      <c r="V112" s="27">
        <f t="shared" ca="1" si="5"/>
        <v>198.5</v>
      </c>
      <c r="AD112" s="27">
        <v>6</v>
      </c>
      <c r="AF112" t="str">
        <f ca="1">IFERROR(__xludf.DUMMYFUNCTION("""COMPUTED_VALUE"""),"Open plan")</f>
        <v>Open plan</v>
      </c>
      <c r="AG112" t="str">
        <f ca="1">IFERROR(__xludf.DUMMYFUNCTION("""COMPUTED_VALUE"""),"Yes")</f>
        <v>Yes</v>
      </c>
      <c r="AH112" t="str">
        <f ca="1">IFERROR(__xludf.DUMMYFUNCTION("""COMPUTED_VALUE"""),"Yes")</f>
        <v>Yes</v>
      </c>
      <c r="AI112" t="str">
        <f ca="1">IFERROR(__xludf.DUMMYFUNCTION("""COMPUTED_VALUE"""),"Yes")</f>
        <v>Yes</v>
      </c>
      <c r="AJ112" t="str">
        <f ca="1">IFERROR(__xludf.DUMMYFUNCTION("""COMPUTED_VALUE"""),"No")</f>
        <v>No</v>
      </c>
      <c r="AK112">
        <v>0</v>
      </c>
      <c r="AL112"/>
      <c r="AM112" t="str">
        <f ca="1">IFERROR(__xludf.DUMMYFUNCTION("""COMPUTED_VALUE"""),"Laminate")</f>
        <v>Laminate</v>
      </c>
      <c r="AN112" t="str">
        <f ca="1">IFERROR(__xludf.DUMMYFUNCTION("""COMPUTED_VALUE"""),"White")</f>
        <v>White</v>
      </c>
      <c r="AO112" t="str">
        <f ca="1">IFERROR(__xludf.DUMMYFUNCTION("""COMPUTED_VALUE"""),"Office chair")</f>
        <v>Office chair</v>
      </c>
      <c r="AP112" t="str">
        <f ca="1">IFERROR(__xludf.DUMMYFUNCTION("""COMPUTED_VALUE"""),"Cloth")</f>
        <v>Cloth</v>
      </c>
      <c r="AQ112" t="str">
        <f ca="1">IFERROR(__xludf.DUMMYFUNCTION("""COMPUTED_VALUE"""),"Carpet")</f>
        <v>Carpet</v>
      </c>
      <c r="AR112" t="str">
        <f ca="1">IFERROR(__xludf.DUMMYFUNCTION("""COMPUTED_VALUE"""),"Grey")</f>
        <v>Grey</v>
      </c>
      <c r="AS112" t="str">
        <f ca="1">IFERROR(__xludf.DUMMYFUNCTION("""COMPUTED_VALUE"""),"White")</f>
        <v>White</v>
      </c>
      <c r="AT112" t="str">
        <f ca="1">IFERROR(__xludf.DUMMYFUNCTION("""COMPUTED_VALUE"""),"wood and white")</f>
        <v>wood and white</v>
      </c>
      <c r="AU112" t="str">
        <f ca="1">IFERROR(__xludf.DUMMYFUNCTION("""COMPUTED_VALUE"""),"Grey")</f>
        <v>Grey</v>
      </c>
      <c r="AV112" t="str">
        <f ca="1">IFERROR(__xludf.DUMMYFUNCTION("""COMPUTED_VALUE"""),"Yes")</f>
        <v>Yes</v>
      </c>
      <c r="AW112">
        <f ca="1">IFERROR(__xludf.DUMMYFUNCTION("""COMPUTED_VALUE"""),142)</f>
        <v>142</v>
      </c>
      <c r="AX112">
        <f ca="1">IFERROR(__xludf.DUMMYFUNCTION("""COMPUTED_VALUE"""),255)</f>
        <v>255</v>
      </c>
      <c r="AY112">
        <f ca="1">IFERROR(__xludf.DUMMYFUNCTION("""COMPUTED_VALUE"""),250)</f>
        <v>250</v>
      </c>
      <c r="AZ112" t="str">
        <f ca="1">IFERROR(__xludf.DUMMYFUNCTION("""COMPUTED_VALUE"""),"Yes")</f>
        <v>Yes</v>
      </c>
      <c r="BA112">
        <f ca="1">IFERROR(__xludf.DUMMYFUNCTION("""COMPUTED_VALUE"""),3.7)</f>
        <v>3.7</v>
      </c>
      <c r="BB112" t="str">
        <f ca="1">IFERROR(__xludf.DUMMYFUNCTION("""COMPUTED_VALUE"""),"NA")</f>
        <v>NA</v>
      </c>
      <c r="BC112" t="str">
        <f ca="1">IFERROR(__xludf.DUMMYFUNCTION("""COMPUTED_VALUE"""),"No")</f>
        <v>No</v>
      </c>
      <c r="BD112">
        <f ca="1">IFERROR(__xludf.DUMMYFUNCTION("""COMPUTED_VALUE"""),2.5)</f>
        <v>2.5</v>
      </c>
      <c r="BE112" t="str">
        <f ca="1">IFERROR(__xludf.DUMMYFUNCTION("""COMPUTED_VALUE"""),"NW")</f>
        <v>NW</v>
      </c>
      <c r="BF112" t="str">
        <f ca="1">IFERROR(__xludf.DUMMYFUNCTION("""COMPUTED_VALUE"""),"NA")</f>
        <v>NA</v>
      </c>
      <c r="BG112" t="str">
        <f ca="1">IFERROR(__xludf.DUMMYFUNCTION("""COMPUTED_VALUE"""),"NA")</f>
        <v>NA</v>
      </c>
      <c r="BH112">
        <f ca="1">IFERROR(__xludf.DUMMYFUNCTION("""COMPUTED_VALUE"""),1.47)</f>
        <v>1.47</v>
      </c>
      <c r="BI112">
        <f ca="1">IFERROR(__xludf.DUMMYFUNCTION("""COMPUTED_VALUE"""),0.75)</f>
        <v>0.75</v>
      </c>
      <c r="BJ112">
        <f ca="1">IFERROR(__xludf.DUMMYFUNCTION("""COMPUTED_VALUE"""),0.77)</f>
        <v>0.77</v>
      </c>
      <c r="BK112">
        <f ca="1">IFERROR(__xludf.DUMMYFUNCTION("""COMPUTED_VALUE"""),1.26)</f>
        <v>1.26</v>
      </c>
      <c r="BL112">
        <v>2</v>
      </c>
      <c r="BM112">
        <v>1</v>
      </c>
      <c r="BN112">
        <v>4</v>
      </c>
      <c r="BO112">
        <v>3</v>
      </c>
      <c r="BP112">
        <v>2</v>
      </c>
      <c r="BQ112">
        <v>4</v>
      </c>
      <c r="BR112">
        <v>6</v>
      </c>
      <c r="BS112">
        <v>2</v>
      </c>
      <c r="BT112">
        <v>3</v>
      </c>
      <c r="BU112">
        <v>4</v>
      </c>
      <c r="BV112">
        <v>6</v>
      </c>
      <c r="BW112">
        <v>4</v>
      </c>
      <c r="BX112">
        <v>3</v>
      </c>
      <c r="BY112">
        <v>3</v>
      </c>
      <c r="BZ112">
        <v>1</v>
      </c>
      <c r="CA112">
        <v>7</v>
      </c>
      <c r="CB112">
        <v>6</v>
      </c>
      <c r="CC112">
        <v>5</v>
      </c>
      <c r="CD112">
        <v>1</v>
      </c>
      <c r="CE112">
        <v>1</v>
      </c>
      <c r="CF112">
        <v>6</v>
      </c>
      <c r="CG112">
        <v>1</v>
      </c>
      <c r="CH112">
        <v>2</v>
      </c>
      <c r="CI112">
        <v>5</v>
      </c>
      <c r="CJ112">
        <v>7</v>
      </c>
      <c r="CK112">
        <v>7</v>
      </c>
      <c r="CL112">
        <v>7</v>
      </c>
      <c r="CM112">
        <v>1</v>
      </c>
      <c r="CN112" s="100" t="s">
        <v>223</v>
      </c>
      <c r="CO112">
        <v>2</v>
      </c>
      <c r="CP112">
        <v>6</v>
      </c>
      <c r="CQ112">
        <v>7</v>
      </c>
      <c r="CR112">
        <v>1</v>
      </c>
      <c r="CS112">
        <v>1</v>
      </c>
      <c r="CT112">
        <v>3</v>
      </c>
      <c r="CU112">
        <v>6</v>
      </c>
      <c r="CV112">
        <v>2</v>
      </c>
      <c r="CW112">
        <v>1</v>
      </c>
      <c r="CX112" s="100" t="s">
        <v>235</v>
      </c>
      <c r="CY112">
        <v>6</v>
      </c>
      <c r="CZ112">
        <v>1</v>
      </c>
      <c r="DA112">
        <v>3</v>
      </c>
      <c r="DB112">
        <v>1</v>
      </c>
      <c r="DC112">
        <v>7</v>
      </c>
      <c r="DD112">
        <v>3</v>
      </c>
      <c r="DE112">
        <v>7</v>
      </c>
      <c r="DF112">
        <v>4</v>
      </c>
      <c r="DG112">
        <v>5</v>
      </c>
      <c r="DH112" s="100" t="s">
        <v>223</v>
      </c>
      <c r="DI112" s="100" t="s">
        <v>223</v>
      </c>
      <c r="DJ112"/>
      <c r="DK112"/>
      <c r="DL112"/>
      <c r="DM112"/>
      <c r="DN112"/>
      <c r="DO112"/>
      <c r="DP112"/>
      <c r="DQ112"/>
      <c r="DR112"/>
      <c r="DS112"/>
      <c r="DT112"/>
      <c r="DU112"/>
      <c r="DV112"/>
      <c r="DW112"/>
      <c r="DX112"/>
      <c r="DY112"/>
      <c r="DZ112"/>
      <c r="EA112"/>
    </row>
    <row r="113" spans="1:145" s="27" customFormat="1" ht="14">
      <c r="A113" s="84">
        <v>43861.462430555555</v>
      </c>
      <c r="B113" s="27" t="str">
        <f ca="1">IFERROR(__xludf.DUMMYFUNCTION("""COMPUTED_VALUE"""),"C00150")</f>
        <v>C00150</v>
      </c>
      <c r="C113" s="86">
        <f t="shared" si="4"/>
        <v>112</v>
      </c>
      <c r="D113" s="27" t="s">
        <v>139</v>
      </c>
      <c r="E113" s="27" t="s">
        <v>19</v>
      </c>
      <c r="F113" s="27">
        <v>10</v>
      </c>
      <c r="G113" s="27">
        <f ca="1">IFERROR(__xludf.DUMMYFUNCTION("""COMPUTED_VALUE"""),22.2)</f>
        <v>22.2</v>
      </c>
      <c r="H113" s="27">
        <f ca="1">IFERROR(__xludf.DUMMYFUNCTION("""COMPUTED_VALUE"""),43.1)</f>
        <v>43.1</v>
      </c>
      <c r="I113" s="27">
        <v>1032</v>
      </c>
      <c r="J113" s="27">
        <v>1.2</v>
      </c>
      <c r="K113" s="27">
        <v>158</v>
      </c>
      <c r="L113" s="27">
        <v>0.63</v>
      </c>
      <c r="M113" s="27">
        <v>20.831457141688301</v>
      </c>
      <c r="N113" s="27">
        <v>0.03</v>
      </c>
      <c r="O113" s="27">
        <v>56.4</v>
      </c>
      <c r="P113" s="27">
        <v>0</v>
      </c>
      <c r="R113" s="27">
        <f ca="1">IFERROR(__xludf.DUMMYFUNCTION("""COMPUTED_VALUE"""),237)</f>
        <v>237</v>
      </c>
      <c r="S113" s="27">
        <f ca="1">IFERROR(__xludf.DUMMYFUNCTION("""COMPUTED_VALUE"""),288)</f>
        <v>288</v>
      </c>
      <c r="T113" s="27">
        <f ca="1">IFERROR(__xludf.DUMMYFUNCTION("""COMPUTED_VALUE"""),193)</f>
        <v>193</v>
      </c>
      <c r="V113" s="27">
        <f t="shared" ca="1" si="5"/>
        <v>262.5</v>
      </c>
      <c r="AD113" s="27">
        <v>3</v>
      </c>
      <c r="AF113" t="str">
        <f ca="1">IFERROR(__xludf.DUMMYFUNCTION("""COMPUTED_VALUE"""),"Private")</f>
        <v>Private</v>
      </c>
      <c r="AG113" t="str">
        <f ca="1">IFERROR(__xludf.DUMMYFUNCTION("""COMPUTED_VALUE"""),"Yes")</f>
        <v>Yes</v>
      </c>
      <c r="AH113" t="str">
        <f ca="1">IFERROR(__xludf.DUMMYFUNCTION("""COMPUTED_VALUE"""),"Yes")</f>
        <v>Yes</v>
      </c>
      <c r="AI113" t="str">
        <f ca="1">IFERROR(__xludf.DUMMYFUNCTION("""COMPUTED_VALUE"""),"Yes")</f>
        <v>Yes</v>
      </c>
      <c r="AJ113" t="str">
        <f ca="1">IFERROR(__xludf.DUMMYFUNCTION("""COMPUTED_VALUE"""),"Yes")</f>
        <v>Yes</v>
      </c>
      <c r="AK113">
        <v>0</v>
      </c>
      <c r="AL113"/>
      <c r="AM113" t="str">
        <f ca="1">IFERROR(__xludf.DUMMYFUNCTION("""COMPUTED_VALUE"""),"Laminate")</f>
        <v>Laminate</v>
      </c>
      <c r="AN113" t="str">
        <f ca="1">IFERROR(__xludf.DUMMYFUNCTION("""COMPUTED_VALUE"""),"White")</f>
        <v>White</v>
      </c>
      <c r="AO113" t="str">
        <f ca="1">IFERROR(__xludf.DUMMYFUNCTION("""COMPUTED_VALUE"""),"Office chair")</f>
        <v>Office chair</v>
      </c>
      <c r="AP113" t="str">
        <f ca="1">IFERROR(__xludf.DUMMYFUNCTION("""COMPUTED_VALUE"""),"Cloth")</f>
        <v>Cloth</v>
      </c>
      <c r="AQ113" t="str">
        <f ca="1">IFERROR(__xludf.DUMMYFUNCTION("""COMPUTED_VALUE"""),"Carpet")</f>
        <v>Carpet</v>
      </c>
      <c r="AR113" t="str">
        <f ca="1">IFERROR(__xludf.DUMMYFUNCTION("""COMPUTED_VALUE"""),"Grey")</f>
        <v>Grey</v>
      </c>
      <c r="AS113" t="str">
        <f ca="1">IFERROR(__xludf.DUMMYFUNCTION("""COMPUTED_VALUE"""),"White")</f>
        <v>White</v>
      </c>
      <c r="AT113" t="str">
        <f ca="1">IFERROR(__xludf.DUMMYFUNCTION("""COMPUTED_VALUE"""),"wood and white")</f>
        <v>wood and white</v>
      </c>
      <c r="AU113" t="str">
        <f ca="1">IFERROR(__xludf.DUMMYFUNCTION("""COMPUTED_VALUE"""),"NA")</f>
        <v>NA</v>
      </c>
      <c r="AV113" t="str">
        <f ca="1">IFERROR(__xludf.DUMMYFUNCTION("""COMPUTED_VALUE"""),"No")</f>
        <v>No</v>
      </c>
      <c r="AW113">
        <f ca="1">IFERROR(__xludf.DUMMYFUNCTION("""COMPUTED_VALUE"""),237)</f>
        <v>237</v>
      </c>
      <c r="AX113">
        <f ca="1">IFERROR(__xludf.DUMMYFUNCTION("""COMPUTED_VALUE"""),288)</f>
        <v>288</v>
      </c>
      <c r="AY113">
        <f ca="1">IFERROR(__xludf.DUMMYFUNCTION("""COMPUTED_VALUE"""),193)</f>
        <v>193</v>
      </c>
      <c r="AZ113" t="str">
        <f ca="1">IFERROR(__xludf.DUMMYFUNCTION("""COMPUTED_VALUE"""),"No")</f>
        <v>No</v>
      </c>
      <c r="BA113">
        <f ca="1">IFERROR(__xludf.DUMMYFUNCTION("""COMPUTED_VALUE"""),3.5)</f>
        <v>3.5</v>
      </c>
      <c r="BB113" t="str">
        <f ca="1">IFERROR(__xludf.DUMMYFUNCTION("""COMPUTED_VALUE"""),"na")</f>
        <v>na</v>
      </c>
      <c r="BC113" t="str">
        <f ca="1">IFERROR(__xludf.DUMMYFUNCTION("""COMPUTED_VALUE"""),"No")</f>
        <v>No</v>
      </c>
      <c r="BD113">
        <f ca="1">IFERROR(__xludf.DUMMYFUNCTION("""COMPUTED_VALUE"""),0.4)</f>
        <v>0.4</v>
      </c>
      <c r="BE113" t="str">
        <f ca="1">IFERROR(__xludf.DUMMYFUNCTION("""COMPUTED_VALUE"""),"SE")</f>
        <v>SE</v>
      </c>
      <c r="BF113">
        <f ca="1">IFERROR(__xludf.DUMMYFUNCTION("""COMPUTED_VALUE"""),1)</f>
        <v>1</v>
      </c>
      <c r="BG113" t="str">
        <f ca="1">IFERROR(__xludf.DUMMYFUNCTION("""COMPUTED_VALUE"""),"SW")</f>
        <v>SW</v>
      </c>
      <c r="BH113">
        <f ca="1">IFERROR(__xludf.DUMMYFUNCTION("""COMPUTED_VALUE"""),1.52)</f>
        <v>1.52</v>
      </c>
      <c r="BI113">
        <f ca="1">IFERROR(__xludf.DUMMYFUNCTION("""COMPUTED_VALUE"""),0.75)</f>
        <v>0.75</v>
      </c>
      <c r="BJ113">
        <f ca="1">IFERROR(__xludf.DUMMYFUNCTION("""COMPUTED_VALUE"""),0.74)</f>
        <v>0.74</v>
      </c>
      <c r="BK113" t="str">
        <f ca="1">IFERROR(__xludf.DUMMYFUNCTION("""COMPUTED_VALUE"""),"NA")</f>
        <v>NA</v>
      </c>
      <c r="BL113">
        <v>1</v>
      </c>
      <c r="BM113">
        <v>4</v>
      </c>
      <c r="BN113">
        <v>4</v>
      </c>
      <c r="BO113">
        <v>3</v>
      </c>
      <c r="BP113">
        <v>2</v>
      </c>
      <c r="BQ113">
        <v>4</v>
      </c>
      <c r="BR113">
        <v>3</v>
      </c>
      <c r="BS113">
        <v>2</v>
      </c>
      <c r="BT113">
        <v>1</v>
      </c>
      <c r="BU113">
        <v>3</v>
      </c>
      <c r="BV113">
        <v>3</v>
      </c>
      <c r="BW113">
        <v>3</v>
      </c>
      <c r="BX113">
        <v>2</v>
      </c>
      <c r="BY113">
        <v>3</v>
      </c>
      <c r="BZ113">
        <v>1</v>
      </c>
      <c r="CA113">
        <v>6</v>
      </c>
      <c r="CB113">
        <v>6</v>
      </c>
      <c r="CC113">
        <v>6</v>
      </c>
      <c r="CD113">
        <v>2</v>
      </c>
      <c r="CE113">
        <v>1</v>
      </c>
      <c r="CF113">
        <v>7</v>
      </c>
      <c r="CG113">
        <v>1</v>
      </c>
      <c r="CH113">
        <v>2</v>
      </c>
      <c r="CI113">
        <v>5</v>
      </c>
      <c r="CJ113">
        <v>6</v>
      </c>
      <c r="CK113">
        <v>6</v>
      </c>
      <c r="CL113">
        <v>5</v>
      </c>
      <c r="CM113">
        <v>1</v>
      </c>
      <c r="CN113" s="100" t="s">
        <v>223</v>
      </c>
      <c r="CO113">
        <v>1</v>
      </c>
      <c r="CP113">
        <v>7</v>
      </c>
      <c r="CQ113">
        <v>7</v>
      </c>
      <c r="CR113">
        <v>1</v>
      </c>
      <c r="CS113">
        <v>1</v>
      </c>
      <c r="CT113">
        <v>7</v>
      </c>
      <c r="CU113">
        <v>6</v>
      </c>
      <c r="CV113">
        <v>2</v>
      </c>
      <c r="CW113">
        <v>1</v>
      </c>
      <c r="CX113" s="100" t="s">
        <v>15</v>
      </c>
      <c r="CY113">
        <v>5</v>
      </c>
      <c r="CZ113">
        <v>1</v>
      </c>
      <c r="DA113">
        <v>3</v>
      </c>
      <c r="DB113">
        <v>2</v>
      </c>
      <c r="DC113">
        <v>5</v>
      </c>
      <c r="DD113">
        <v>3</v>
      </c>
      <c r="DE113">
        <v>4</v>
      </c>
      <c r="DF113">
        <v>7</v>
      </c>
      <c r="DG113">
        <v>6</v>
      </c>
      <c r="DH113" s="100" t="s">
        <v>223</v>
      </c>
      <c r="DI113" s="100" t="s">
        <v>223</v>
      </c>
      <c r="DJ113"/>
      <c r="DK113"/>
      <c r="DL113"/>
      <c r="DM113"/>
      <c r="DN113"/>
      <c r="DO113"/>
      <c r="DP113"/>
      <c r="DQ113"/>
      <c r="DR113"/>
      <c r="DS113"/>
      <c r="DT113"/>
      <c r="DU113"/>
      <c r="DV113"/>
      <c r="DW113"/>
      <c r="DX113"/>
      <c r="DY113"/>
      <c r="DZ113"/>
      <c r="EA113"/>
    </row>
    <row r="114" spans="1:145" s="27" customFormat="1" ht="14">
      <c r="A114" s="84">
        <v>43861.473900462966</v>
      </c>
      <c r="B114" s="27" t="str">
        <f ca="1">IFERROR(__xludf.DUMMYFUNCTION("""COMPUTED_VALUE"""),"B00375")</f>
        <v>B00375</v>
      </c>
      <c r="C114" s="86">
        <f t="shared" si="4"/>
        <v>113</v>
      </c>
      <c r="D114" s="27" t="s">
        <v>139</v>
      </c>
      <c r="E114" s="27" t="s">
        <v>19</v>
      </c>
      <c r="F114" s="27">
        <v>10</v>
      </c>
      <c r="G114" s="27">
        <f ca="1">IFERROR(__xludf.DUMMYFUNCTION("""COMPUTED_VALUE"""),22.6)</f>
        <v>22.6</v>
      </c>
      <c r="H114" s="27">
        <f ca="1">IFERROR(__xludf.DUMMYFUNCTION("""COMPUTED_VALUE"""),42.9)</f>
        <v>42.9</v>
      </c>
      <c r="I114" s="27">
        <v>971</v>
      </c>
      <c r="J114" s="27">
        <v>1.3</v>
      </c>
      <c r="K114" s="27">
        <v>158</v>
      </c>
      <c r="L114" s="27">
        <v>0.52</v>
      </c>
      <c r="M114" s="27">
        <v>21.5317248935789</v>
      </c>
      <c r="N114" s="27">
        <v>0.08</v>
      </c>
      <c r="O114" s="27">
        <v>54.4</v>
      </c>
      <c r="P114" s="27">
        <f ca="1">IFERROR(__xludf.DUMMYFUNCTION("""COMPUTED_VALUE"""),1.7)</f>
        <v>1.7</v>
      </c>
      <c r="R114" s="27">
        <f ca="1">IFERROR(__xludf.DUMMYFUNCTION("""COMPUTED_VALUE"""),195.5)</f>
        <v>195.5</v>
      </c>
      <c r="S114" s="27">
        <f ca="1">IFERROR(__xludf.DUMMYFUNCTION("""COMPUTED_VALUE"""),252)</f>
        <v>252</v>
      </c>
      <c r="T114" s="27">
        <f ca="1">IFERROR(__xludf.DUMMYFUNCTION("""COMPUTED_VALUE"""),120)</f>
        <v>120</v>
      </c>
      <c r="V114" s="27">
        <f t="shared" ca="1" si="5"/>
        <v>223.75</v>
      </c>
      <c r="AD114" s="27">
        <v>6</v>
      </c>
      <c r="AF114" t="str">
        <f ca="1">IFERROR(__xludf.DUMMYFUNCTION("""COMPUTED_VALUE"""),"Open plan")</f>
        <v>Open plan</v>
      </c>
      <c r="AG114" t="str">
        <f ca="1">IFERROR(__xludf.DUMMYFUNCTION("""COMPUTED_VALUE"""),"Yes")</f>
        <v>Yes</v>
      </c>
      <c r="AH114" t="str">
        <f ca="1">IFERROR(__xludf.DUMMYFUNCTION("""COMPUTED_VALUE"""),"Yes")</f>
        <v>Yes</v>
      </c>
      <c r="AI114" t="str">
        <f ca="1">IFERROR(__xludf.DUMMYFUNCTION("""COMPUTED_VALUE"""),"Yes")</f>
        <v>Yes</v>
      </c>
      <c r="AJ114" t="str">
        <f ca="1">IFERROR(__xludf.DUMMYFUNCTION("""COMPUTED_VALUE"""),"Yes")</f>
        <v>Yes</v>
      </c>
      <c r="AK114">
        <v>0</v>
      </c>
      <c r="AL114"/>
      <c r="AM114" t="str">
        <f ca="1">IFERROR(__xludf.DUMMYFUNCTION("""COMPUTED_VALUE"""),"Laminate")</f>
        <v>Laminate</v>
      </c>
      <c r="AN114" t="str">
        <f ca="1">IFERROR(__xludf.DUMMYFUNCTION("""COMPUTED_VALUE"""),"White")</f>
        <v>White</v>
      </c>
      <c r="AO114" t="str">
        <f ca="1">IFERROR(__xludf.DUMMYFUNCTION("""COMPUTED_VALUE"""),"Office chair")</f>
        <v>Office chair</v>
      </c>
      <c r="AP114" t="str">
        <f ca="1">IFERROR(__xludf.DUMMYFUNCTION("""COMPUTED_VALUE"""),"Cloth")</f>
        <v>Cloth</v>
      </c>
      <c r="AQ114" t="str">
        <f ca="1">IFERROR(__xludf.DUMMYFUNCTION("""COMPUTED_VALUE"""),"Carpet")</f>
        <v>Carpet</v>
      </c>
      <c r="AR114" t="str">
        <f ca="1">IFERROR(__xludf.DUMMYFUNCTION("""COMPUTED_VALUE"""),"Grey")</f>
        <v>Grey</v>
      </c>
      <c r="AS114" t="str">
        <f ca="1">IFERROR(__xludf.DUMMYFUNCTION("""COMPUTED_VALUE"""),"wood")</f>
        <v>wood</v>
      </c>
      <c r="AT114" t="str">
        <f ca="1">IFERROR(__xludf.DUMMYFUNCTION("""COMPUTED_VALUE"""),"wood and white")</f>
        <v>wood and white</v>
      </c>
      <c r="AU114" t="str">
        <f ca="1">IFERROR(__xludf.DUMMYFUNCTION("""COMPUTED_VALUE"""),"Grey")</f>
        <v>Grey</v>
      </c>
      <c r="AV114" t="str">
        <f ca="1">IFERROR(__xludf.DUMMYFUNCTION("""COMPUTED_VALUE"""),"No")</f>
        <v>No</v>
      </c>
      <c r="AW114">
        <f ca="1">IFERROR(__xludf.DUMMYFUNCTION("""COMPUTED_VALUE"""),195.5)</f>
        <v>195.5</v>
      </c>
      <c r="AX114">
        <f ca="1">IFERROR(__xludf.DUMMYFUNCTION("""COMPUTED_VALUE"""),252)</f>
        <v>252</v>
      </c>
      <c r="AY114">
        <f ca="1">IFERROR(__xludf.DUMMYFUNCTION("""COMPUTED_VALUE"""),120)</f>
        <v>120</v>
      </c>
      <c r="AZ114" t="str">
        <f ca="1">IFERROR(__xludf.DUMMYFUNCTION("""COMPUTED_VALUE"""),"No")</f>
        <v>No</v>
      </c>
      <c r="BA114">
        <f ca="1">IFERROR(__xludf.DUMMYFUNCTION("""COMPUTED_VALUE"""),3.5)</f>
        <v>3.5</v>
      </c>
      <c r="BB114" t="str">
        <f ca="1">IFERROR(__xludf.DUMMYFUNCTION("""COMPUTED_VALUE"""),"na")</f>
        <v>na</v>
      </c>
      <c r="BC114" t="str">
        <f ca="1">IFERROR(__xludf.DUMMYFUNCTION("""COMPUTED_VALUE"""),"No")</f>
        <v>No</v>
      </c>
      <c r="BD114">
        <f ca="1">IFERROR(__xludf.DUMMYFUNCTION("""COMPUTED_VALUE"""),0.4)</f>
        <v>0.4</v>
      </c>
      <c r="BE114" t="str">
        <f ca="1">IFERROR(__xludf.DUMMYFUNCTION("""COMPUTED_VALUE"""),"SE")</f>
        <v>SE</v>
      </c>
      <c r="BF114" t="str">
        <f ca="1">IFERROR(__xludf.DUMMYFUNCTION("""COMPUTED_VALUE"""),"NA")</f>
        <v>NA</v>
      </c>
      <c r="BG114" t="str">
        <f ca="1">IFERROR(__xludf.DUMMYFUNCTION("""COMPUTED_VALUE"""),"NA")</f>
        <v>NA</v>
      </c>
      <c r="BH114">
        <f ca="1">IFERROR(__xludf.DUMMYFUNCTION("""COMPUTED_VALUE"""),1.52)</f>
        <v>1.52</v>
      </c>
      <c r="BI114">
        <f ca="1">IFERROR(__xludf.DUMMYFUNCTION("""COMPUTED_VALUE"""),0.75)</f>
        <v>0.75</v>
      </c>
      <c r="BJ114">
        <f ca="1">IFERROR(__xludf.DUMMYFUNCTION("""COMPUTED_VALUE"""),0.76)</f>
        <v>0.76</v>
      </c>
      <c r="BK114">
        <f ca="1">IFERROR(__xludf.DUMMYFUNCTION("""COMPUTED_VALUE"""),1.7)</f>
        <v>1.7</v>
      </c>
      <c r="BL114">
        <v>1</v>
      </c>
      <c r="BM114">
        <v>2</v>
      </c>
      <c r="BN114">
        <v>4</v>
      </c>
      <c r="BO114">
        <v>2</v>
      </c>
      <c r="BP114">
        <v>3</v>
      </c>
      <c r="BQ114">
        <v>3</v>
      </c>
      <c r="BR114">
        <v>6</v>
      </c>
      <c r="BS114">
        <v>2</v>
      </c>
      <c r="BT114">
        <v>2</v>
      </c>
      <c r="BU114">
        <v>5</v>
      </c>
      <c r="BV114">
        <v>3</v>
      </c>
      <c r="BW114">
        <v>6</v>
      </c>
      <c r="BX114">
        <v>3</v>
      </c>
      <c r="BY114">
        <v>3</v>
      </c>
      <c r="BZ114">
        <v>2</v>
      </c>
      <c r="CA114">
        <v>6</v>
      </c>
      <c r="CB114">
        <v>5</v>
      </c>
      <c r="CC114">
        <v>5</v>
      </c>
      <c r="CD114">
        <v>2</v>
      </c>
      <c r="CE114">
        <v>1</v>
      </c>
      <c r="CF114">
        <v>7</v>
      </c>
      <c r="CG114">
        <v>1</v>
      </c>
      <c r="CH114">
        <v>2</v>
      </c>
      <c r="CI114">
        <v>6</v>
      </c>
      <c r="CJ114">
        <v>6</v>
      </c>
      <c r="CK114">
        <v>3</v>
      </c>
      <c r="CL114">
        <v>5</v>
      </c>
      <c r="CM114">
        <v>1</v>
      </c>
      <c r="CN114" s="100" t="s">
        <v>223</v>
      </c>
      <c r="CO114">
        <v>1</v>
      </c>
      <c r="CP114">
        <v>6</v>
      </c>
      <c r="CQ114">
        <v>3</v>
      </c>
      <c r="CR114">
        <v>1</v>
      </c>
      <c r="CS114">
        <v>2</v>
      </c>
      <c r="CT114">
        <v>7</v>
      </c>
      <c r="CU114">
        <v>6</v>
      </c>
      <c r="CV114">
        <v>2</v>
      </c>
      <c r="CW114">
        <v>3</v>
      </c>
      <c r="CX114" s="100" t="s">
        <v>237</v>
      </c>
      <c r="CY114">
        <v>7</v>
      </c>
      <c r="CZ114">
        <v>1</v>
      </c>
      <c r="DA114">
        <v>3</v>
      </c>
      <c r="DB114">
        <v>2</v>
      </c>
      <c r="DC114">
        <v>6</v>
      </c>
      <c r="DD114">
        <v>3</v>
      </c>
      <c r="DE114">
        <v>5</v>
      </c>
      <c r="DF114">
        <v>6</v>
      </c>
      <c r="DG114">
        <v>1</v>
      </c>
      <c r="DH114" s="100" t="s">
        <v>223</v>
      </c>
      <c r="DI114" s="100" t="s">
        <v>223</v>
      </c>
      <c r="DJ114"/>
      <c r="DK114"/>
      <c r="DL114"/>
      <c r="DM114"/>
      <c r="DN114"/>
      <c r="DO114"/>
      <c r="DP114"/>
      <c r="DQ114"/>
      <c r="DR114"/>
      <c r="DS114"/>
      <c r="DT114"/>
      <c r="DU114"/>
      <c r="DV114"/>
      <c r="DW114"/>
      <c r="DX114"/>
      <c r="DY114"/>
      <c r="DZ114"/>
      <c r="EA114"/>
    </row>
    <row r="115" spans="1:145" s="27" customFormat="1" ht="42">
      <c r="A115" s="84">
        <v>43861.486562500002</v>
      </c>
      <c r="B115" s="27" t="str">
        <f ca="1">IFERROR(__xludf.DUMMYFUNCTION("""COMPUTED_VALUE"""),"D00235")</f>
        <v>D00235</v>
      </c>
      <c r="C115" s="86">
        <f t="shared" si="4"/>
        <v>114</v>
      </c>
      <c r="D115" s="27" t="s">
        <v>139</v>
      </c>
      <c r="E115" s="27" t="s">
        <v>19</v>
      </c>
      <c r="F115" s="27">
        <v>10</v>
      </c>
      <c r="G115" s="27">
        <f ca="1">IFERROR(__xludf.DUMMYFUNCTION("""COMPUTED_VALUE"""),22.3)</f>
        <v>22.3</v>
      </c>
      <c r="H115" s="27">
        <f ca="1">IFERROR(__xludf.DUMMYFUNCTION("""COMPUTED_VALUE"""),42.5)</f>
        <v>42.5</v>
      </c>
      <c r="I115" s="27">
        <v>830</v>
      </c>
      <c r="J115" s="27">
        <v>1.1000000000000001</v>
      </c>
      <c r="K115" s="27">
        <v>154</v>
      </c>
      <c r="L115" s="27">
        <v>0.48</v>
      </c>
      <c r="M115" s="27">
        <v>20.9650639325945</v>
      </c>
      <c r="N115" s="27">
        <v>7.0000000000000007E-2</v>
      </c>
      <c r="O115" s="27">
        <v>44</v>
      </c>
      <c r="P115" s="27">
        <v>0</v>
      </c>
      <c r="R115" s="27">
        <f ca="1">IFERROR(__xludf.DUMMYFUNCTION("""COMPUTED_VALUE"""),180)</f>
        <v>180</v>
      </c>
      <c r="S115" s="27">
        <f ca="1">IFERROR(__xludf.DUMMYFUNCTION("""COMPUTED_VALUE"""),107)</f>
        <v>107</v>
      </c>
      <c r="T115" s="27">
        <f ca="1">IFERROR(__xludf.DUMMYFUNCTION("""COMPUTED_VALUE"""),98)</f>
        <v>98</v>
      </c>
      <c r="V115" s="27">
        <f t="shared" ca="1" si="5"/>
        <v>143.5</v>
      </c>
      <c r="AD115" s="27">
        <v>5</v>
      </c>
      <c r="AF115" t="str">
        <f ca="1">IFERROR(__xludf.DUMMYFUNCTION("""COMPUTED_VALUE"""),"Open plan")</f>
        <v>Open plan</v>
      </c>
      <c r="AG115" t="str">
        <f ca="1">IFERROR(__xludf.DUMMYFUNCTION("""COMPUTED_VALUE"""),"Yes")</f>
        <v>Yes</v>
      </c>
      <c r="AH115" t="str">
        <f ca="1">IFERROR(__xludf.DUMMYFUNCTION("""COMPUTED_VALUE"""),"Yes")</f>
        <v>Yes</v>
      </c>
      <c r="AI115" t="str">
        <f ca="1">IFERROR(__xludf.DUMMYFUNCTION("""COMPUTED_VALUE"""),"Yes")</f>
        <v>Yes</v>
      </c>
      <c r="AJ115" t="str">
        <f ca="1">IFERROR(__xludf.DUMMYFUNCTION("""COMPUTED_VALUE"""),"HALF")</f>
        <v>HALF</v>
      </c>
      <c r="AK115">
        <v>0</v>
      </c>
      <c r="AL115"/>
      <c r="AM115" t="str">
        <f ca="1">IFERROR(__xludf.DUMMYFUNCTION("""COMPUTED_VALUE"""),"Laminate")</f>
        <v>Laminate</v>
      </c>
      <c r="AN115" t="str">
        <f ca="1">IFERROR(__xludf.DUMMYFUNCTION("""COMPUTED_VALUE"""),"White")</f>
        <v>White</v>
      </c>
      <c r="AO115" t="str">
        <f ca="1">IFERROR(__xludf.DUMMYFUNCTION("""COMPUTED_VALUE"""),"Office chair")</f>
        <v>Office chair</v>
      </c>
      <c r="AP115" t="str">
        <f ca="1">IFERROR(__xludf.DUMMYFUNCTION("""COMPUTED_VALUE"""),"Cloth")</f>
        <v>Cloth</v>
      </c>
      <c r="AQ115" t="str">
        <f ca="1">IFERROR(__xludf.DUMMYFUNCTION("""COMPUTED_VALUE"""),"Carpet")</f>
        <v>Carpet</v>
      </c>
      <c r="AR115" t="str">
        <f ca="1">IFERROR(__xludf.DUMMYFUNCTION("""COMPUTED_VALUE"""),"Grey")</f>
        <v>Grey</v>
      </c>
      <c r="AS115" t="str">
        <f ca="1">IFERROR(__xludf.DUMMYFUNCTION("""COMPUTED_VALUE"""),"wood")</f>
        <v>wood</v>
      </c>
      <c r="AT115" t="str">
        <f ca="1">IFERROR(__xludf.DUMMYFUNCTION("""COMPUTED_VALUE"""),"wood and white")</f>
        <v>wood and white</v>
      </c>
      <c r="AU115" t="str">
        <f ca="1">IFERROR(__xludf.DUMMYFUNCTION("""COMPUTED_VALUE"""),"NA")</f>
        <v>NA</v>
      </c>
      <c r="AV115" t="str">
        <f ca="1">IFERROR(__xludf.DUMMYFUNCTION("""COMPUTED_VALUE"""),"No")</f>
        <v>No</v>
      </c>
      <c r="AW115">
        <f ca="1">IFERROR(__xludf.DUMMYFUNCTION("""COMPUTED_VALUE"""),180)</f>
        <v>180</v>
      </c>
      <c r="AX115">
        <f ca="1">IFERROR(__xludf.DUMMYFUNCTION("""COMPUTED_VALUE"""),107)</f>
        <v>107</v>
      </c>
      <c r="AY115">
        <f ca="1">IFERROR(__xludf.DUMMYFUNCTION("""COMPUTED_VALUE"""),98)</f>
        <v>98</v>
      </c>
      <c r="AZ115" t="str">
        <f ca="1">IFERROR(__xludf.DUMMYFUNCTION("""COMPUTED_VALUE"""),"No")</f>
        <v>No</v>
      </c>
      <c r="BA115">
        <f ca="1">IFERROR(__xludf.DUMMYFUNCTION("""COMPUTED_VALUE"""),3.7)</f>
        <v>3.7</v>
      </c>
      <c r="BB115">
        <f ca="1">IFERROR(__xludf.DUMMYFUNCTION("""COMPUTED_VALUE"""),5.5)</f>
        <v>5.5</v>
      </c>
      <c r="BC115" t="str">
        <f ca="1">IFERROR(__xludf.DUMMYFUNCTION("""COMPUTED_VALUE"""),"No")</f>
        <v>No</v>
      </c>
      <c r="BD115">
        <f ca="1">IFERROR(__xludf.DUMMYFUNCTION("""COMPUTED_VALUE"""),3.3)</f>
        <v>3.3</v>
      </c>
      <c r="BE115" t="str">
        <f ca="1">IFERROR(__xludf.DUMMYFUNCTION("""COMPUTED_VALUE"""),"SE")</f>
        <v>SE</v>
      </c>
      <c r="BF115">
        <f ca="1">IFERROR(__xludf.DUMMYFUNCTION("""COMPUTED_VALUE"""),6.1)</f>
        <v>6.1</v>
      </c>
      <c r="BG115" t="str">
        <f ca="1">IFERROR(__xludf.DUMMYFUNCTION("""COMPUTED_VALUE"""),"NW")</f>
        <v>NW</v>
      </c>
      <c r="BH115">
        <f ca="1">IFERROR(__xludf.DUMMYFUNCTION("""COMPUTED_VALUE"""),1.9)</f>
        <v>1.9</v>
      </c>
      <c r="BI115">
        <f ca="1">IFERROR(__xludf.DUMMYFUNCTION("""COMPUTED_VALUE"""),0.92)</f>
        <v>0.92</v>
      </c>
      <c r="BJ115">
        <f ca="1">IFERROR(__xludf.DUMMYFUNCTION("""COMPUTED_VALUE"""),0.74)</f>
        <v>0.74</v>
      </c>
      <c r="BK115" t="str">
        <f ca="1">IFERROR(__xludf.DUMMYFUNCTION("""COMPUTED_VALUE"""),"NA")</f>
        <v>NA</v>
      </c>
      <c r="BL115">
        <v>2</v>
      </c>
      <c r="BM115">
        <v>2</v>
      </c>
      <c r="BN115">
        <v>4</v>
      </c>
      <c r="BO115">
        <v>3</v>
      </c>
      <c r="BP115">
        <v>2</v>
      </c>
      <c r="BQ115">
        <v>3</v>
      </c>
      <c r="BR115">
        <v>5</v>
      </c>
      <c r="BS115">
        <v>2</v>
      </c>
      <c r="BT115">
        <v>2</v>
      </c>
      <c r="BU115">
        <v>4</v>
      </c>
      <c r="BV115">
        <v>4</v>
      </c>
      <c r="BW115">
        <v>3</v>
      </c>
      <c r="BX115">
        <v>3</v>
      </c>
      <c r="BY115">
        <v>2</v>
      </c>
      <c r="BZ115">
        <v>1</v>
      </c>
      <c r="CA115">
        <v>7</v>
      </c>
      <c r="CB115">
        <v>6</v>
      </c>
      <c r="CC115">
        <v>7</v>
      </c>
      <c r="CD115">
        <v>2</v>
      </c>
      <c r="CE115">
        <v>1</v>
      </c>
      <c r="CF115">
        <v>4</v>
      </c>
      <c r="CG115">
        <v>1</v>
      </c>
      <c r="CH115">
        <v>1</v>
      </c>
      <c r="CI115">
        <v>5</v>
      </c>
      <c r="CJ115">
        <v>6</v>
      </c>
      <c r="CK115">
        <v>3</v>
      </c>
      <c r="CL115">
        <v>5</v>
      </c>
      <c r="CM115">
        <v>5</v>
      </c>
      <c r="CN115" s="100" t="s">
        <v>553</v>
      </c>
      <c r="CO115">
        <v>2</v>
      </c>
      <c r="CP115">
        <v>4</v>
      </c>
      <c r="CQ115">
        <v>5</v>
      </c>
      <c r="CR115">
        <v>1</v>
      </c>
      <c r="CS115">
        <v>2</v>
      </c>
      <c r="CT115">
        <v>4</v>
      </c>
      <c r="CU115">
        <v>4</v>
      </c>
      <c r="CV115">
        <v>3</v>
      </c>
      <c r="CW115">
        <v>3</v>
      </c>
      <c r="CX115" s="100" t="s">
        <v>237</v>
      </c>
      <c r="CY115">
        <v>6</v>
      </c>
      <c r="CZ115">
        <v>1</v>
      </c>
      <c r="DA115">
        <v>3</v>
      </c>
      <c r="DB115">
        <v>1</v>
      </c>
      <c r="DC115">
        <v>4</v>
      </c>
      <c r="DD115">
        <v>3</v>
      </c>
      <c r="DE115">
        <v>4</v>
      </c>
      <c r="DF115">
        <v>3</v>
      </c>
      <c r="DG115">
        <v>5</v>
      </c>
      <c r="DH115" s="100" t="s">
        <v>223</v>
      </c>
      <c r="DI115" s="100" t="s">
        <v>223</v>
      </c>
      <c r="DJ115"/>
      <c r="DK115"/>
      <c r="DL115"/>
      <c r="DM115"/>
      <c r="DN115"/>
      <c r="DO115"/>
      <c r="DP115"/>
      <c r="DQ115"/>
      <c r="DR115"/>
      <c r="DS115"/>
      <c r="DT115"/>
      <c r="DU115"/>
      <c r="DV115"/>
      <c r="DW115"/>
      <c r="DX115"/>
      <c r="DY115"/>
      <c r="DZ115"/>
      <c r="EA115"/>
    </row>
    <row r="116" spans="1:145" s="27" customFormat="1" ht="14">
      <c r="A116" s="84">
        <v>43861.48400462963</v>
      </c>
      <c r="B116" s="27" t="str">
        <f ca="1">IFERROR(__xludf.DUMMYFUNCTION("""COMPUTED_VALUE"""),"D00145")</f>
        <v>D00145</v>
      </c>
      <c r="C116" s="86">
        <f t="shared" si="4"/>
        <v>115</v>
      </c>
      <c r="D116" s="27" t="s">
        <v>139</v>
      </c>
      <c r="E116" s="27" t="s">
        <v>19</v>
      </c>
      <c r="F116" s="27">
        <v>10</v>
      </c>
      <c r="G116" s="27">
        <f ca="1">IFERROR(__xludf.DUMMYFUNCTION("""COMPUTED_VALUE"""),21.9)</f>
        <v>21.9</v>
      </c>
      <c r="H116" s="27">
        <f ca="1">IFERROR(__xludf.DUMMYFUNCTION("""COMPUTED_VALUE"""),42.7)</f>
        <v>42.7</v>
      </c>
      <c r="I116" s="27">
        <v>815</v>
      </c>
      <c r="J116" s="27">
        <v>1.1000000000000001</v>
      </c>
      <c r="K116" s="27">
        <v>154</v>
      </c>
      <c r="L116" s="27">
        <v>0.48</v>
      </c>
      <c r="M116" s="27">
        <v>20.629644932880701</v>
      </c>
      <c r="N116" s="27">
        <v>0.05</v>
      </c>
      <c r="O116" s="27">
        <v>44</v>
      </c>
      <c r="P116" s="27">
        <v>0</v>
      </c>
      <c r="R116" s="27">
        <f ca="1">IFERROR(__xludf.DUMMYFUNCTION("""COMPUTED_VALUE"""),157.4)</f>
        <v>157.4</v>
      </c>
      <c r="S116" s="27">
        <f ca="1">IFERROR(__xludf.DUMMYFUNCTION("""COMPUTED_VALUE"""),208)</f>
        <v>208</v>
      </c>
      <c r="T116" s="27">
        <f ca="1">IFERROR(__xludf.DUMMYFUNCTION("""COMPUTED_VALUE"""),173.6)</f>
        <v>173.6</v>
      </c>
      <c r="V116" s="27">
        <f t="shared" ca="1" si="5"/>
        <v>182.7</v>
      </c>
      <c r="AD116" s="27">
        <v>6</v>
      </c>
      <c r="AF116" t="str">
        <f ca="1">IFERROR(__xludf.DUMMYFUNCTION("""COMPUTED_VALUE"""),"Open plan")</f>
        <v>Open plan</v>
      </c>
      <c r="AG116" t="str">
        <f ca="1">IFERROR(__xludf.DUMMYFUNCTION("""COMPUTED_VALUE"""),"Yes")</f>
        <v>Yes</v>
      </c>
      <c r="AH116" t="str">
        <f ca="1">IFERROR(__xludf.DUMMYFUNCTION("""COMPUTED_VALUE"""),"Yes")</f>
        <v>Yes</v>
      </c>
      <c r="AI116" t="str">
        <f ca="1">IFERROR(__xludf.DUMMYFUNCTION("""COMPUTED_VALUE"""),"Yes")</f>
        <v>Yes</v>
      </c>
      <c r="AJ116" t="str">
        <f ca="1">IFERROR(__xludf.DUMMYFUNCTION("""COMPUTED_VALUE"""),"HALF")</f>
        <v>HALF</v>
      </c>
      <c r="AK116">
        <v>0</v>
      </c>
      <c r="AL116"/>
      <c r="AM116" t="str">
        <f ca="1">IFERROR(__xludf.DUMMYFUNCTION("""COMPUTED_VALUE"""),"Laminate")</f>
        <v>Laminate</v>
      </c>
      <c r="AN116" t="str">
        <f ca="1">IFERROR(__xludf.DUMMYFUNCTION("""COMPUTED_VALUE"""),"White")</f>
        <v>White</v>
      </c>
      <c r="AO116" t="str">
        <f ca="1">IFERROR(__xludf.DUMMYFUNCTION("""COMPUTED_VALUE"""),"Office chair")</f>
        <v>Office chair</v>
      </c>
      <c r="AP116" t="str">
        <f ca="1">IFERROR(__xludf.DUMMYFUNCTION("""COMPUTED_VALUE"""),"Cloth")</f>
        <v>Cloth</v>
      </c>
      <c r="AQ116" t="str">
        <f ca="1">IFERROR(__xludf.DUMMYFUNCTION("""COMPUTED_VALUE"""),"Carpet")</f>
        <v>Carpet</v>
      </c>
      <c r="AR116" t="str">
        <f ca="1">IFERROR(__xludf.DUMMYFUNCTION("""COMPUTED_VALUE"""),"Grey")</f>
        <v>Grey</v>
      </c>
      <c r="AS116" t="str">
        <f ca="1">IFERROR(__xludf.DUMMYFUNCTION("""COMPUTED_VALUE"""),"wood")</f>
        <v>wood</v>
      </c>
      <c r="AT116" t="str">
        <f ca="1">IFERROR(__xludf.DUMMYFUNCTION("""COMPUTED_VALUE"""),"wood and white")</f>
        <v>wood and white</v>
      </c>
      <c r="AU116" t="str">
        <f ca="1">IFERROR(__xludf.DUMMYFUNCTION("""COMPUTED_VALUE"""),"NA")</f>
        <v>NA</v>
      </c>
      <c r="AV116" t="str">
        <f ca="1">IFERROR(__xludf.DUMMYFUNCTION("""COMPUTED_VALUE"""),"No")</f>
        <v>No</v>
      </c>
      <c r="AW116">
        <f ca="1">IFERROR(__xludf.DUMMYFUNCTION("""COMPUTED_VALUE"""),157.4)</f>
        <v>157.4</v>
      </c>
      <c r="AX116">
        <f ca="1">IFERROR(__xludf.DUMMYFUNCTION("""COMPUTED_VALUE"""),208)</f>
        <v>208</v>
      </c>
      <c r="AY116">
        <f ca="1">IFERROR(__xludf.DUMMYFUNCTION("""COMPUTED_VALUE"""),173.6)</f>
        <v>173.6</v>
      </c>
      <c r="AZ116" t="str">
        <f ca="1">IFERROR(__xludf.DUMMYFUNCTION("""COMPUTED_VALUE"""),"No")</f>
        <v>No</v>
      </c>
      <c r="BA116">
        <f ca="1">IFERROR(__xludf.DUMMYFUNCTION("""COMPUTED_VALUE"""),3.7)</f>
        <v>3.7</v>
      </c>
      <c r="BB116">
        <f ca="1">IFERROR(__xludf.DUMMYFUNCTION("""COMPUTED_VALUE"""),7.3)</f>
        <v>7.3</v>
      </c>
      <c r="BC116" t="str">
        <f ca="1">IFERROR(__xludf.DUMMYFUNCTION("""COMPUTED_VALUE"""),"No")</f>
        <v>No</v>
      </c>
      <c r="BD116">
        <f ca="1">IFERROR(__xludf.DUMMYFUNCTION("""COMPUTED_VALUE"""),3.3)</f>
        <v>3.3</v>
      </c>
      <c r="BE116" t="str">
        <f ca="1">IFERROR(__xludf.DUMMYFUNCTION("""COMPUTED_VALUE"""),"SE")</f>
        <v>SE</v>
      </c>
      <c r="BF116">
        <f ca="1">IFERROR(__xludf.DUMMYFUNCTION("""COMPUTED_VALUE"""),6.1)</f>
        <v>6.1</v>
      </c>
      <c r="BG116" t="str">
        <f ca="1">IFERROR(__xludf.DUMMYFUNCTION("""COMPUTED_VALUE"""),"NW")</f>
        <v>NW</v>
      </c>
      <c r="BH116">
        <f ca="1">IFERROR(__xludf.DUMMYFUNCTION("""COMPUTED_VALUE"""),1.9)</f>
        <v>1.9</v>
      </c>
      <c r="BI116">
        <f ca="1">IFERROR(__xludf.DUMMYFUNCTION("""COMPUTED_VALUE"""),0.92)</f>
        <v>0.92</v>
      </c>
      <c r="BJ116">
        <f ca="1">IFERROR(__xludf.DUMMYFUNCTION("""COMPUTED_VALUE"""),0.74)</f>
        <v>0.74</v>
      </c>
      <c r="BK116" t="str">
        <f ca="1">IFERROR(__xludf.DUMMYFUNCTION("""COMPUTED_VALUE"""),"NA")</f>
        <v>NA</v>
      </c>
      <c r="BL116">
        <v>1</v>
      </c>
      <c r="BM116">
        <v>2</v>
      </c>
      <c r="BN116">
        <v>2</v>
      </c>
      <c r="BO116">
        <v>2</v>
      </c>
      <c r="BP116">
        <v>2</v>
      </c>
      <c r="BQ116">
        <v>3</v>
      </c>
      <c r="BR116">
        <v>6</v>
      </c>
      <c r="BS116">
        <v>2</v>
      </c>
      <c r="BT116">
        <v>3</v>
      </c>
      <c r="BU116">
        <v>5</v>
      </c>
      <c r="BV116">
        <v>2</v>
      </c>
      <c r="BW116">
        <v>4</v>
      </c>
      <c r="BX116">
        <v>4</v>
      </c>
      <c r="BY116">
        <v>3</v>
      </c>
      <c r="BZ116">
        <v>2</v>
      </c>
      <c r="CA116">
        <v>6</v>
      </c>
      <c r="CB116">
        <v>3</v>
      </c>
      <c r="CC116">
        <v>6</v>
      </c>
      <c r="CD116">
        <v>2</v>
      </c>
      <c r="CE116">
        <v>1</v>
      </c>
      <c r="CF116">
        <v>7</v>
      </c>
      <c r="CG116">
        <v>1</v>
      </c>
      <c r="CH116">
        <v>2</v>
      </c>
      <c r="CI116">
        <v>3</v>
      </c>
      <c r="CJ116">
        <v>3</v>
      </c>
      <c r="CK116">
        <v>5</v>
      </c>
      <c r="CL116">
        <v>4</v>
      </c>
      <c r="CM116">
        <v>1</v>
      </c>
      <c r="CN116" s="100" t="s">
        <v>223</v>
      </c>
      <c r="CO116">
        <v>2</v>
      </c>
      <c r="CP116">
        <v>2</v>
      </c>
      <c r="CQ116">
        <v>7</v>
      </c>
      <c r="CR116">
        <v>1</v>
      </c>
      <c r="CS116">
        <v>2</v>
      </c>
      <c r="CT116">
        <v>5</v>
      </c>
      <c r="CU116">
        <v>4</v>
      </c>
      <c r="CV116">
        <v>3</v>
      </c>
      <c r="CW116">
        <v>3</v>
      </c>
      <c r="CX116" s="100" t="s">
        <v>15</v>
      </c>
      <c r="CY116">
        <v>7</v>
      </c>
      <c r="CZ116">
        <v>1</v>
      </c>
      <c r="DA116">
        <v>3</v>
      </c>
      <c r="DB116">
        <v>1</v>
      </c>
      <c r="DC116">
        <v>5</v>
      </c>
      <c r="DD116">
        <v>2</v>
      </c>
      <c r="DE116">
        <v>4</v>
      </c>
      <c r="DF116">
        <v>1</v>
      </c>
      <c r="DG116">
        <v>1</v>
      </c>
      <c r="DH116" s="100" t="s">
        <v>554</v>
      </c>
      <c r="DI116" s="100" t="s">
        <v>223</v>
      </c>
      <c r="DJ116"/>
      <c r="DK116"/>
      <c r="DL116"/>
      <c r="DM116"/>
      <c r="DN116"/>
      <c r="DO116"/>
      <c r="DP116"/>
      <c r="DQ116"/>
      <c r="DR116"/>
      <c r="DS116"/>
      <c r="DT116"/>
      <c r="DU116"/>
      <c r="DV116"/>
      <c r="DW116"/>
      <c r="DX116"/>
      <c r="DY116"/>
      <c r="DZ116"/>
      <c r="EA116"/>
    </row>
    <row r="117" spans="1:145" s="27" customFormat="1" ht="14">
      <c r="A117" s="84">
        <v>43861.563981481479</v>
      </c>
      <c r="B117" s="27" t="str">
        <f ca="1">IFERROR(__xludf.DUMMYFUNCTION("""COMPUTED_VALUE"""),"D00190")</f>
        <v>D00190</v>
      </c>
      <c r="C117" s="86">
        <f t="shared" si="4"/>
        <v>116</v>
      </c>
      <c r="D117" s="27" t="s">
        <v>139</v>
      </c>
      <c r="E117" s="27" t="s">
        <v>19</v>
      </c>
      <c r="F117" s="27">
        <v>10</v>
      </c>
      <c r="G117" s="27">
        <f ca="1">IFERROR(__xludf.DUMMYFUNCTION("""COMPUTED_VALUE"""),22.3)</f>
        <v>22.3</v>
      </c>
      <c r="H117" s="27">
        <f ca="1">IFERROR(__xludf.DUMMYFUNCTION("""COMPUTED_VALUE"""),44.6)</f>
        <v>44.6</v>
      </c>
      <c r="I117" s="27">
        <v>1260</v>
      </c>
      <c r="J117" s="27">
        <v>1.2</v>
      </c>
      <c r="K117" s="27">
        <v>166</v>
      </c>
      <c r="L117" s="27">
        <v>0.48</v>
      </c>
      <c r="M117" s="27">
        <v>21.3470241044541</v>
      </c>
      <c r="N117" s="27">
        <v>0.01</v>
      </c>
      <c r="O117" s="27">
        <v>40.1</v>
      </c>
      <c r="P117" s="27">
        <f ca="1">IFERROR(__xludf.DUMMYFUNCTION("""COMPUTED_VALUE"""),1.25)</f>
        <v>1.25</v>
      </c>
      <c r="R117" s="27">
        <f ca="1">IFERROR(__xludf.DUMMYFUNCTION("""COMPUTED_VALUE"""),103)</f>
        <v>103</v>
      </c>
      <c r="S117" s="27">
        <f ca="1">IFERROR(__xludf.DUMMYFUNCTION("""COMPUTED_VALUE"""),136)</f>
        <v>136</v>
      </c>
      <c r="T117" s="27">
        <f ca="1">IFERROR(__xludf.DUMMYFUNCTION("""COMPUTED_VALUE"""),117.5)</f>
        <v>117.5</v>
      </c>
      <c r="V117" s="27">
        <f t="shared" ca="1" si="5"/>
        <v>119.5</v>
      </c>
      <c r="AD117" s="27">
        <v>5</v>
      </c>
      <c r="AF117" t="str">
        <f ca="1">IFERROR(__xludf.DUMMYFUNCTION("""COMPUTED_VALUE"""),"Semi private (2-5 desks)")</f>
        <v>Semi private (2-5 desks)</v>
      </c>
      <c r="AG117" t="str">
        <f ca="1">IFERROR(__xludf.DUMMYFUNCTION("""COMPUTED_VALUE"""),"Yes")</f>
        <v>Yes</v>
      </c>
      <c r="AH117" t="str">
        <f ca="1">IFERROR(__xludf.DUMMYFUNCTION("""COMPUTED_VALUE"""),"Yes")</f>
        <v>Yes</v>
      </c>
      <c r="AI117" t="str">
        <f ca="1">IFERROR(__xludf.DUMMYFUNCTION("""COMPUTED_VALUE"""),"Yes")</f>
        <v>Yes</v>
      </c>
      <c r="AJ117" t="str">
        <f ca="1">IFERROR(__xludf.DUMMYFUNCTION("""COMPUTED_VALUE"""),"No")</f>
        <v>No</v>
      </c>
      <c r="AK117">
        <v>0</v>
      </c>
      <c r="AL117"/>
      <c r="AM117" t="str">
        <f ca="1">IFERROR(__xludf.DUMMYFUNCTION("""COMPUTED_VALUE"""),"Wood")</f>
        <v>Wood</v>
      </c>
      <c r="AN117" t="str">
        <f ca="1">IFERROR(__xludf.DUMMYFUNCTION("""COMPUTED_VALUE"""),"Brown")</f>
        <v>Brown</v>
      </c>
      <c r="AO117" t="str">
        <f ca="1">IFERROR(__xludf.DUMMYFUNCTION("""COMPUTED_VALUE"""),"Office chair")</f>
        <v>Office chair</v>
      </c>
      <c r="AP117" t="str">
        <f ca="1">IFERROR(__xludf.DUMMYFUNCTION("""COMPUTED_VALUE"""),"Cloth")</f>
        <v>Cloth</v>
      </c>
      <c r="AQ117" t="str">
        <f ca="1">IFERROR(__xludf.DUMMYFUNCTION("""COMPUTED_VALUE"""),"Carpet")</f>
        <v>Carpet</v>
      </c>
      <c r="AR117" t="str">
        <f ca="1">IFERROR(__xludf.DUMMYFUNCTION("""COMPUTED_VALUE"""),"Grey")</f>
        <v>Grey</v>
      </c>
      <c r="AS117" t="str">
        <f ca="1">IFERROR(__xludf.DUMMYFUNCTION("""COMPUTED_VALUE"""),"White")</f>
        <v>White</v>
      </c>
      <c r="AT117" t="str">
        <f ca="1">IFERROR(__xludf.DUMMYFUNCTION("""COMPUTED_VALUE"""),"wood and white")</f>
        <v>wood and white</v>
      </c>
      <c r="AU117" t="str">
        <f ca="1">IFERROR(__xludf.DUMMYFUNCTION("""COMPUTED_VALUE"""),"Grety")</f>
        <v>Grety</v>
      </c>
      <c r="AV117" t="str">
        <f ca="1">IFERROR(__xludf.DUMMYFUNCTION("""COMPUTED_VALUE"""),"No")</f>
        <v>No</v>
      </c>
      <c r="AW117">
        <f ca="1">IFERROR(__xludf.DUMMYFUNCTION("""COMPUTED_VALUE"""),103)</f>
        <v>103</v>
      </c>
      <c r="AX117">
        <f ca="1">IFERROR(__xludf.DUMMYFUNCTION("""COMPUTED_VALUE"""),136)</f>
        <v>136</v>
      </c>
      <c r="AY117">
        <f ca="1">IFERROR(__xludf.DUMMYFUNCTION("""COMPUTED_VALUE"""),117.5)</f>
        <v>117.5</v>
      </c>
      <c r="AZ117" t="str">
        <f ca="1">IFERROR(__xludf.DUMMYFUNCTION("""COMPUTED_VALUE"""),"No")</f>
        <v>No</v>
      </c>
      <c r="BA117">
        <f ca="1">IFERROR(__xludf.DUMMYFUNCTION("""COMPUTED_VALUE"""),3.7)</f>
        <v>3.7</v>
      </c>
      <c r="BB117">
        <f ca="1">IFERROR(__xludf.DUMMYFUNCTION("""COMPUTED_VALUE"""),0.1)</f>
        <v>0.1</v>
      </c>
      <c r="BC117" t="str">
        <f ca="1">IFERROR(__xludf.DUMMYFUNCTION("""COMPUTED_VALUE"""),"No")</f>
        <v>No</v>
      </c>
      <c r="BD117">
        <f ca="1">IFERROR(__xludf.DUMMYFUNCTION("""COMPUTED_VALUE"""),3.3)</f>
        <v>3.3</v>
      </c>
      <c r="BE117" t="str">
        <f ca="1">IFERROR(__xludf.DUMMYFUNCTION("""COMPUTED_VALUE"""),"NW")</f>
        <v>NW</v>
      </c>
      <c r="BF117" t="str">
        <f ca="1">IFERROR(__xludf.DUMMYFUNCTION("""COMPUTED_VALUE"""),"NA")</f>
        <v>NA</v>
      </c>
      <c r="BG117" t="str">
        <f ca="1">IFERROR(__xludf.DUMMYFUNCTION("""COMPUTED_VALUE"""),"NA")</f>
        <v>NA</v>
      </c>
      <c r="BH117">
        <f ca="1">IFERROR(__xludf.DUMMYFUNCTION("""COMPUTED_VALUE"""),2.5)</f>
        <v>2.5</v>
      </c>
      <c r="BI117">
        <f ca="1">IFERROR(__xludf.DUMMYFUNCTION("""COMPUTED_VALUE"""),0.6)</f>
        <v>0.6</v>
      </c>
      <c r="BJ117">
        <f ca="1">IFERROR(__xludf.DUMMYFUNCTION("""COMPUTED_VALUE"""),0.73)</f>
        <v>0.73</v>
      </c>
      <c r="BK117">
        <f ca="1">IFERROR(__xludf.DUMMYFUNCTION("""COMPUTED_VALUE"""),1.25)</f>
        <v>1.25</v>
      </c>
      <c r="BL117">
        <v>1</v>
      </c>
      <c r="BM117">
        <v>2</v>
      </c>
      <c r="BN117">
        <v>1</v>
      </c>
      <c r="BO117">
        <v>3</v>
      </c>
      <c r="BP117">
        <v>2</v>
      </c>
      <c r="BQ117">
        <v>3</v>
      </c>
      <c r="BR117">
        <v>5</v>
      </c>
      <c r="BS117">
        <v>2</v>
      </c>
      <c r="BT117">
        <v>2</v>
      </c>
      <c r="BU117" s="100" t="s">
        <v>223</v>
      </c>
      <c r="BV117" s="100" t="s">
        <v>223</v>
      </c>
      <c r="BW117">
        <v>6</v>
      </c>
      <c r="BX117">
        <v>4</v>
      </c>
      <c r="BY117" s="100" t="s">
        <v>223</v>
      </c>
      <c r="BZ117">
        <v>2</v>
      </c>
      <c r="CA117">
        <v>6</v>
      </c>
      <c r="CB117">
        <v>4</v>
      </c>
      <c r="CC117">
        <v>5</v>
      </c>
      <c r="CD117">
        <v>1</v>
      </c>
      <c r="CE117">
        <v>1</v>
      </c>
      <c r="CF117">
        <v>6</v>
      </c>
      <c r="CG117">
        <v>1</v>
      </c>
      <c r="CH117">
        <v>2</v>
      </c>
      <c r="CI117">
        <v>7</v>
      </c>
      <c r="CJ117">
        <v>5</v>
      </c>
      <c r="CK117">
        <v>4</v>
      </c>
      <c r="CL117">
        <v>5</v>
      </c>
      <c r="CM117">
        <v>1</v>
      </c>
      <c r="CN117" s="100" t="s">
        <v>223</v>
      </c>
      <c r="CO117">
        <v>3</v>
      </c>
      <c r="CP117">
        <v>5</v>
      </c>
      <c r="CQ117">
        <v>6</v>
      </c>
      <c r="CR117">
        <v>2</v>
      </c>
      <c r="CS117">
        <v>1</v>
      </c>
      <c r="CT117">
        <v>4</v>
      </c>
      <c r="CU117">
        <v>6</v>
      </c>
      <c r="CV117">
        <v>2</v>
      </c>
      <c r="CW117">
        <v>1</v>
      </c>
      <c r="CX117" s="100" t="s">
        <v>15</v>
      </c>
      <c r="CY117">
        <v>6</v>
      </c>
      <c r="CZ117">
        <v>1</v>
      </c>
      <c r="DA117">
        <v>3</v>
      </c>
      <c r="DB117">
        <v>3</v>
      </c>
      <c r="DC117">
        <v>6</v>
      </c>
      <c r="DD117">
        <v>3</v>
      </c>
      <c r="DE117">
        <v>4</v>
      </c>
      <c r="DF117">
        <v>6</v>
      </c>
      <c r="DG117">
        <v>6</v>
      </c>
      <c r="DH117" s="100" t="s">
        <v>223</v>
      </c>
      <c r="DI117" s="100" t="s">
        <v>223</v>
      </c>
      <c r="DJ117"/>
      <c r="DK117"/>
      <c r="DL117"/>
      <c r="DM117"/>
      <c r="DN117"/>
      <c r="DO117"/>
      <c r="DP117"/>
      <c r="DQ117"/>
      <c r="DR117"/>
      <c r="DS117"/>
      <c r="DT117"/>
      <c r="DU117"/>
      <c r="DV117"/>
      <c r="DW117"/>
      <c r="DX117"/>
      <c r="DY117"/>
      <c r="DZ117"/>
      <c r="EA117"/>
    </row>
    <row r="118" spans="1:145" s="27" customFormat="1" ht="14">
      <c r="A118" s="84">
        <v>43861.568414351852</v>
      </c>
      <c r="B118" s="27" t="str">
        <f ca="1">IFERROR(__xludf.DUMMYFUNCTION("""COMPUTED_VALUE"""),"C00165")</f>
        <v>C00165</v>
      </c>
      <c r="C118" s="86">
        <f t="shared" si="4"/>
        <v>117</v>
      </c>
      <c r="D118" s="27" t="s">
        <v>139</v>
      </c>
      <c r="E118" s="27" t="s">
        <v>19</v>
      </c>
      <c r="F118" s="27">
        <v>10</v>
      </c>
      <c r="G118" s="27">
        <f ca="1">IFERROR(__xludf.DUMMYFUNCTION("""COMPUTED_VALUE"""),22.7)</f>
        <v>22.7</v>
      </c>
      <c r="H118" s="27">
        <f ca="1">IFERROR(__xludf.DUMMYFUNCTION("""COMPUTED_VALUE"""),44.3)</f>
        <v>44.3</v>
      </c>
      <c r="I118" s="27">
        <v>1342</v>
      </c>
      <c r="J118" s="27">
        <v>1.2</v>
      </c>
      <c r="K118" s="27">
        <v>170</v>
      </c>
      <c r="L118" s="27">
        <v>0.55000000000000004</v>
      </c>
      <c r="M118" s="27">
        <v>21.694473432490799</v>
      </c>
      <c r="N118" s="27">
        <v>0.09</v>
      </c>
      <c r="O118" s="27">
        <v>47.2</v>
      </c>
      <c r="P118" s="27">
        <f ca="1">IFERROR(__xludf.DUMMYFUNCTION("""COMPUTED_VALUE"""),1.25)</f>
        <v>1.25</v>
      </c>
      <c r="R118" s="27">
        <f ca="1">IFERROR(__xludf.DUMMYFUNCTION("""COMPUTED_VALUE"""),159)</f>
        <v>159</v>
      </c>
      <c r="S118" s="27">
        <f ca="1">IFERROR(__xludf.DUMMYFUNCTION("""COMPUTED_VALUE"""),176)</f>
        <v>176</v>
      </c>
      <c r="T118" s="27">
        <f ca="1">IFERROR(__xludf.DUMMYFUNCTION("""COMPUTED_VALUE"""),68)</f>
        <v>68</v>
      </c>
      <c r="V118" s="27">
        <f t="shared" ca="1" si="5"/>
        <v>167.5</v>
      </c>
      <c r="AD118" s="27">
        <v>5</v>
      </c>
      <c r="AF118" t="str">
        <f ca="1">IFERROR(__xludf.DUMMYFUNCTION("""COMPUTED_VALUE"""),"Semi private (2-5 desks)")</f>
        <v>Semi private (2-5 desks)</v>
      </c>
      <c r="AG118" t="str">
        <f ca="1">IFERROR(__xludf.DUMMYFUNCTION("""COMPUTED_VALUE"""),"Yes")</f>
        <v>Yes</v>
      </c>
      <c r="AH118" t="str">
        <f ca="1">IFERROR(__xludf.DUMMYFUNCTION("""COMPUTED_VALUE"""),"Yes")</f>
        <v>Yes</v>
      </c>
      <c r="AI118" t="str">
        <f ca="1">IFERROR(__xludf.DUMMYFUNCTION("""COMPUTED_VALUE"""),"Yes")</f>
        <v>Yes</v>
      </c>
      <c r="AJ118" t="str">
        <f ca="1">IFERROR(__xludf.DUMMYFUNCTION("""COMPUTED_VALUE"""),"No")</f>
        <v>No</v>
      </c>
      <c r="AK118">
        <v>0</v>
      </c>
      <c r="AL118"/>
      <c r="AM118" t="str">
        <f ca="1">IFERROR(__xludf.DUMMYFUNCTION("""COMPUTED_VALUE"""),"Wood")</f>
        <v>Wood</v>
      </c>
      <c r="AN118" t="str">
        <f ca="1">IFERROR(__xludf.DUMMYFUNCTION("""COMPUTED_VALUE"""),"Brown")</f>
        <v>Brown</v>
      </c>
      <c r="AO118" t="str">
        <f ca="1">IFERROR(__xludf.DUMMYFUNCTION("""COMPUTED_VALUE"""),"Office chair")</f>
        <v>Office chair</v>
      </c>
      <c r="AP118" t="str">
        <f ca="1">IFERROR(__xludf.DUMMYFUNCTION("""COMPUTED_VALUE"""),"Cloth")</f>
        <v>Cloth</v>
      </c>
      <c r="AQ118" t="str">
        <f ca="1">IFERROR(__xludf.DUMMYFUNCTION("""COMPUTED_VALUE"""),"Carpet")</f>
        <v>Carpet</v>
      </c>
      <c r="AR118" t="str">
        <f ca="1">IFERROR(__xludf.DUMMYFUNCTION("""COMPUTED_VALUE"""),"Grey")</f>
        <v>Grey</v>
      </c>
      <c r="AS118" t="str">
        <f ca="1">IFERROR(__xludf.DUMMYFUNCTION("""COMPUTED_VALUE"""),"White")</f>
        <v>White</v>
      </c>
      <c r="AT118" t="str">
        <f ca="1">IFERROR(__xludf.DUMMYFUNCTION("""COMPUTED_VALUE"""),"wood and white")</f>
        <v>wood and white</v>
      </c>
      <c r="AU118" t="str">
        <f ca="1">IFERROR(__xludf.DUMMYFUNCTION("""COMPUTED_VALUE"""),"Grey")</f>
        <v>Grey</v>
      </c>
      <c r="AV118" t="str">
        <f ca="1">IFERROR(__xludf.DUMMYFUNCTION("""COMPUTED_VALUE"""),"No")</f>
        <v>No</v>
      </c>
      <c r="AW118">
        <f ca="1">IFERROR(__xludf.DUMMYFUNCTION("""COMPUTED_VALUE"""),159)</f>
        <v>159</v>
      </c>
      <c r="AX118">
        <f ca="1">IFERROR(__xludf.DUMMYFUNCTION("""COMPUTED_VALUE"""),176)</f>
        <v>176</v>
      </c>
      <c r="AY118">
        <f ca="1">IFERROR(__xludf.DUMMYFUNCTION("""COMPUTED_VALUE"""),68)</f>
        <v>68</v>
      </c>
      <c r="AZ118" t="str">
        <f ca="1">IFERROR(__xludf.DUMMYFUNCTION("""COMPUTED_VALUE"""),"No")</f>
        <v>No</v>
      </c>
      <c r="BA118">
        <f ca="1">IFERROR(__xludf.DUMMYFUNCTION("""COMPUTED_VALUE"""),3.7)</f>
        <v>3.7</v>
      </c>
      <c r="BB118">
        <f ca="1">IFERROR(__xludf.DUMMYFUNCTION("""COMPUTED_VALUE"""),1)</f>
        <v>1</v>
      </c>
      <c r="BC118" t="str">
        <f ca="1">IFERROR(__xludf.DUMMYFUNCTION("""COMPUTED_VALUE"""),"No")</f>
        <v>No</v>
      </c>
      <c r="BD118">
        <f ca="1">IFERROR(__xludf.DUMMYFUNCTION("""COMPUTED_VALUE"""),1)</f>
        <v>1</v>
      </c>
      <c r="BE118" t="str">
        <f ca="1">IFERROR(__xludf.DUMMYFUNCTION("""COMPUTED_VALUE"""),"NW")</f>
        <v>NW</v>
      </c>
      <c r="BF118" t="str">
        <f ca="1">IFERROR(__xludf.DUMMYFUNCTION("""COMPUTED_VALUE"""),"NA")</f>
        <v>NA</v>
      </c>
      <c r="BG118" t="str">
        <f ca="1">IFERROR(__xludf.DUMMYFUNCTION("""COMPUTED_VALUE"""),"NA")</f>
        <v>NA</v>
      </c>
      <c r="BH118">
        <f ca="1">IFERROR(__xludf.DUMMYFUNCTION("""COMPUTED_VALUE"""),1.84)</f>
        <v>1.84</v>
      </c>
      <c r="BI118">
        <f ca="1">IFERROR(__xludf.DUMMYFUNCTION("""COMPUTED_VALUE"""),0.76)</f>
        <v>0.76</v>
      </c>
      <c r="BJ118">
        <f ca="1">IFERROR(__xludf.DUMMYFUNCTION("""COMPUTED_VALUE"""),0.85)</f>
        <v>0.85</v>
      </c>
      <c r="BK118">
        <f ca="1">IFERROR(__xludf.DUMMYFUNCTION("""COMPUTED_VALUE"""),1.25)</f>
        <v>1.25</v>
      </c>
      <c r="BL118">
        <v>1</v>
      </c>
      <c r="BM118">
        <v>3</v>
      </c>
      <c r="BN118">
        <v>4</v>
      </c>
      <c r="BO118">
        <v>2</v>
      </c>
      <c r="BP118">
        <v>2</v>
      </c>
      <c r="BQ118">
        <v>5</v>
      </c>
      <c r="BR118">
        <v>5</v>
      </c>
      <c r="BS118">
        <v>3</v>
      </c>
      <c r="BT118">
        <v>2</v>
      </c>
      <c r="BU118">
        <v>3</v>
      </c>
      <c r="BV118">
        <v>3</v>
      </c>
      <c r="BW118">
        <v>3</v>
      </c>
      <c r="BX118">
        <v>3</v>
      </c>
      <c r="BY118">
        <v>3</v>
      </c>
      <c r="BZ118">
        <v>1</v>
      </c>
      <c r="CA118">
        <v>6</v>
      </c>
      <c r="CB118">
        <v>3</v>
      </c>
      <c r="CC118">
        <v>4</v>
      </c>
      <c r="CD118">
        <v>2</v>
      </c>
      <c r="CE118">
        <v>1</v>
      </c>
      <c r="CF118">
        <v>6</v>
      </c>
      <c r="CG118">
        <v>1</v>
      </c>
      <c r="CH118">
        <v>2</v>
      </c>
      <c r="CI118">
        <v>6</v>
      </c>
      <c r="CJ118">
        <v>3</v>
      </c>
      <c r="CK118">
        <v>6</v>
      </c>
      <c r="CL118">
        <v>3</v>
      </c>
      <c r="CM118">
        <v>1</v>
      </c>
      <c r="CN118" s="100" t="s">
        <v>223</v>
      </c>
      <c r="CO118">
        <v>2</v>
      </c>
      <c r="CP118">
        <v>5</v>
      </c>
      <c r="CQ118">
        <v>6</v>
      </c>
      <c r="CR118">
        <v>2</v>
      </c>
      <c r="CS118">
        <v>1</v>
      </c>
      <c r="CT118">
        <v>5</v>
      </c>
      <c r="CU118">
        <v>6</v>
      </c>
      <c r="CV118">
        <v>2</v>
      </c>
      <c r="CW118">
        <v>2</v>
      </c>
      <c r="CX118" s="100" t="s">
        <v>237</v>
      </c>
      <c r="CY118">
        <v>2</v>
      </c>
      <c r="CZ118">
        <v>1</v>
      </c>
      <c r="DA118">
        <v>3</v>
      </c>
      <c r="DB118">
        <v>1</v>
      </c>
      <c r="DC118">
        <v>2</v>
      </c>
      <c r="DD118">
        <v>3</v>
      </c>
      <c r="DE118">
        <v>6</v>
      </c>
      <c r="DF118">
        <v>5</v>
      </c>
      <c r="DG118">
        <v>4</v>
      </c>
      <c r="DH118" s="100" t="s">
        <v>555</v>
      </c>
      <c r="DI118" s="100" t="s">
        <v>223</v>
      </c>
      <c r="DJ118"/>
      <c r="DK118"/>
      <c r="DL118"/>
      <c r="DM118"/>
      <c r="DN118"/>
      <c r="DO118"/>
      <c r="DP118"/>
      <c r="DQ118"/>
      <c r="DR118"/>
      <c r="DS118"/>
      <c r="DT118"/>
      <c r="DU118"/>
      <c r="DV118"/>
      <c r="DW118"/>
      <c r="DX118"/>
      <c r="DY118"/>
      <c r="DZ118"/>
      <c r="EA118"/>
    </row>
    <row r="119" spans="1:145" s="27" customFormat="1" ht="14">
      <c r="A119" s="84">
        <v>43861.588506944441</v>
      </c>
      <c r="B119" s="27" t="str">
        <f ca="1">IFERROR(__xludf.DUMMYFUNCTION("""COMPUTED_VALUE"""),"E00265")</f>
        <v>E00265</v>
      </c>
      <c r="C119" s="86">
        <f t="shared" si="4"/>
        <v>118</v>
      </c>
      <c r="D119" s="27" t="s">
        <v>139</v>
      </c>
      <c r="E119" s="27" t="s">
        <v>19</v>
      </c>
      <c r="F119" s="27">
        <v>10</v>
      </c>
      <c r="G119" s="27">
        <f ca="1">IFERROR(__xludf.DUMMYFUNCTION("""COMPUTED_VALUE"""),23.1)</f>
        <v>23.1</v>
      </c>
      <c r="H119" s="27">
        <f ca="1">IFERROR(__xludf.DUMMYFUNCTION("""COMPUTED_VALUE"""),44.2)</f>
        <v>44.2</v>
      </c>
      <c r="I119" s="27">
        <v>1114</v>
      </c>
      <c r="J119" s="27">
        <v>1.2</v>
      </c>
      <c r="K119" s="27">
        <v>164</v>
      </c>
      <c r="L119" s="27">
        <v>0.57000000000000006</v>
      </c>
      <c r="M119" s="27">
        <v>22.059910331288499</v>
      </c>
      <c r="N119" s="27">
        <v>0.08</v>
      </c>
      <c r="O119" s="27">
        <v>47.1</v>
      </c>
      <c r="P119" s="27">
        <f ca="1">IFERROR(__xludf.DUMMYFUNCTION("""COMPUTED_VALUE"""),1.25)</f>
        <v>1.25</v>
      </c>
      <c r="R119" s="27">
        <f ca="1">IFERROR(__xludf.DUMMYFUNCTION("""COMPUTED_VALUE"""),167)</f>
        <v>167</v>
      </c>
      <c r="S119" s="27">
        <f ca="1">IFERROR(__xludf.DUMMYFUNCTION("""COMPUTED_VALUE"""),285)</f>
        <v>285</v>
      </c>
      <c r="T119" s="27">
        <f ca="1">IFERROR(__xludf.DUMMYFUNCTION("""COMPUTED_VALUE"""),127)</f>
        <v>127</v>
      </c>
      <c r="V119" s="27">
        <f t="shared" ca="1" si="5"/>
        <v>226</v>
      </c>
      <c r="AD119" s="27">
        <v>3</v>
      </c>
      <c r="AF119" t="str">
        <f ca="1">IFERROR(__xludf.DUMMYFUNCTION("""COMPUTED_VALUE"""),"Open plan")</f>
        <v>Open plan</v>
      </c>
      <c r="AG119" t="str">
        <f ca="1">IFERROR(__xludf.DUMMYFUNCTION("""COMPUTED_VALUE"""),"Yes")</f>
        <v>Yes</v>
      </c>
      <c r="AH119" t="str">
        <f ca="1">IFERROR(__xludf.DUMMYFUNCTION("""COMPUTED_VALUE"""),"Yes")</f>
        <v>Yes</v>
      </c>
      <c r="AI119" t="str">
        <f ca="1">IFERROR(__xludf.DUMMYFUNCTION("""COMPUTED_VALUE"""),"Yes")</f>
        <v>Yes</v>
      </c>
      <c r="AJ119" t="str">
        <f ca="1">IFERROR(__xludf.DUMMYFUNCTION("""COMPUTED_VALUE"""),"HALF")</f>
        <v>HALF</v>
      </c>
      <c r="AK119">
        <f t="array" ref="AK119:AK142">TRANSPOSE('[1]Garment Insulation'!R148:ER148)</f>
        <v>0</v>
      </c>
      <c r="AL119"/>
      <c r="AM119" t="str">
        <f ca="1">IFERROR(__xludf.DUMMYFUNCTION("""COMPUTED_VALUE"""),"LAMINATE")</f>
        <v>LAMINATE</v>
      </c>
      <c r="AN119" t="str">
        <f ca="1">IFERROR(__xludf.DUMMYFUNCTION("""COMPUTED_VALUE"""),"WHITE")</f>
        <v>WHITE</v>
      </c>
      <c r="AO119" t="str">
        <f ca="1">IFERROR(__xludf.DUMMYFUNCTION("""COMPUTED_VALUE"""),"Office chair")</f>
        <v>Office chair</v>
      </c>
      <c r="AP119" t="str">
        <f ca="1">IFERROR(__xludf.DUMMYFUNCTION("""COMPUTED_VALUE"""),"CLOTH")</f>
        <v>CLOTH</v>
      </c>
      <c r="AQ119" t="str">
        <f ca="1">IFERROR(__xludf.DUMMYFUNCTION("""COMPUTED_VALUE"""),"Carpet")</f>
        <v>Carpet</v>
      </c>
      <c r="AR119" t="str">
        <f ca="1">IFERROR(__xludf.DUMMYFUNCTION("""COMPUTED_VALUE"""),"GREY")</f>
        <v>GREY</v>
      </c>
      <c r="AS119" t="str">
        <f ca="1">IFERROR(__xludf.DUMMYFUNCTION("""COMPUTED_VALUE"""),"WHITE")</f>
        <v>WHITE</v>
      </c>
      <c r="AT119" t="str">
        <f ca="1">IFERROR(__xludf.DUMMYFUNCTION("""COMPUTED_VALUE"""),"wood and white")</f>
        <v>wood and white</v>
      </c>
      <c r="AU119" t="str">
        <f ca="1">IFERROR(__xludf.DUMMYFUNCTION("""COMPUTED_VALUE"""),"Grey")</f>
        <v>Grey</v>
      </c>
      <c r="AV119" t="str">
        <f ca="1">IFERROR(__xludf.DUMMYFUNCTION("""COMPUTED_VALUE"""),"No")</f>
        <v>No</v>
      </c>
      <c r="AW119">
        <f ca="1">IFERROR(__xludf.DUMMYFUNCTION("""COMPUTED_VALUE"""),167)</f>
        <v>167</v>
      </c>
      <c r="AX119">
        <f ca="1">IFERROR(__xludf.DUMMYFUNCTION("""COMPUTED_VALUE"""),285)</f>
        <v>285</v>
      </c>
      <c r="AY119">
        <f ca="1">IFERROR(__xludf.DUMMYFUNCTION("""COMPUTED_VALUE"""),127)</f>
        <v>127</v>
      </c>
      <c r="AZ119" t="str">
        <f ca="1">IFERROR(__xludf.DUMMYFUNCTION("""COMPUTED_VALUE"""),"No")</f>
        <v>No</v>
      </c>
      <c r="BA119">
        <f ca="1">IFERROR(__xludf.DUMMYFUNCTION("""COMPUTED_VALUE"""),3.7)</f>
        <v>3.7</v>
      </c>
      <c r="BB119" t="str">
        <f ca="1">IFERROR(__xludf.DUMMYFUNCTION("""COMPUTED_VALUE"""),"NA")</f>
        <v>NA</v>
      </c>
      <c r="BC119" t="str">
        <f ca="1">IFERROR(__xludf.DUMMYFUNCTION("""COMPUTED_VALUE"""),"No")</f>
        <v>No</v>
      </c>
      <c r="BD119">
        <f ca="1">IFERROR(__xludf.DUMMYFUNCTION("""COMPUTED_VALUE"""),1)</f>
        <v>1</v>
      </c>
      <c r="BE119" t="str">
        <f ca="1">IFERROR(__xludf.DUMMYFUNCTION("""COMPUTED_VALUE"""),"SE")</f>
        <v>SE</v>
      </c>
      <c r="BF119" t="str">
        <f ca="1">IFERROR(__xludf.DUMMYFUNCTION("""COMPUTED_VALUE"""),"NA")</f>
        <v>NA</v>
      </c>
      <c r="BG119" t="str">
        <f ca="1">IFERROR(__xludf.DUMMYFUNCTION("""COMPUTED_VALUE"""),"NA")</f>
        <v>NA</v>
      </c>
      <c r="BH119">
        <f ca="1">IFERROR(__xludf.DUMMYFUNCTION("""COMPUTED_VALUE"""),1.52)</f>
        <v>1.52</v>
      </c>
      <c r="BI119">
        <f ca="1">IFERROR(__xludf.DUMMYFUNCTION("""COMPUTED_VALUE"""),0.6)</f>
        <v>0.6</v>
      </c>
      <c r="BJ119">
        <f ca="1">IFERROR(__xludf.DUMMYFUNCTION("""COMPUTED_VALUE"""),0.75)</f>
        <v>0.75</v>
      </c>
      <c r="BK119">
        <f ca="1">IFERROR(__xludf.DUMMYFUNCTION("""COMPUTED_VALUE"""),1.25)</f>
        <v>1.25</v>
      </c>
      <c r="BL119">
        <v>1</v>
      </c>
      <c r="BM119">
        <v>1</v>
      </c>
      <c r="BN119">
        <v>2</v>
      </c>
      <c r="BO119">
        <v>1</v>
      </c>
      <c r="BP119">
        <v>1</v>
      </c>
      <c r="BQ119">
        <v>2</v>
      </c>
      <c r="BR119">
        <v>6</v>
      </c>
      <c r="BS119">
        <v>2</v>
      </c>
      <c r="BT119">
        <v>2</v>
      </c>
      <c r="BU119" s="100" t="s">
        <v>223</v>
      </c>
      <c r="BV119" s="100" t="s">
        <v>223</v>
      </c>
      <c r="BW119">
        <v>6</v>
      </c>
      <c r="BX119">
        <v>3</v>
      </c>
      <c r="BY119" s="100" t="s">
        <v>223</v>
      </c>
      <c r="BZ119">
        <v>2</v>
      </c>
      <c r="CA119">
        <v>5</v>
      </c>
      <c r="CB119">
        <v>6</v>
      </c>
      <c r="CC119">
        <v>6</v>
      </c>
      <c r="CD119">
        <v>2</v>
      </c>
      <c r="CE119">
        <v>1</v>
      </c>
      <c r="CF119">
        <v>2</v>
      </c>
      <c r="CG119">
        <v>1</v>
      </c>
      <c r="CH119">
        <v>1</v>
      </c>
      <c r="CI119">
        <v>6</v>
      </c>
      <c r="CJ119">
        <v>5</v>
      </c>
      <c r="CK119">
        <v>3</v>
      </c>
      <c r="CL119">
        <v>5</v>
      </c>
      <c r="CM119">
        <v>1</v>
      </c>
      <c r="CN119" s="100" t="s">
        <v>223</v>
      </c>
      <c r="CO119">
        <v>1</v>
      </c>
      <c r="CP119">
        <v>5</v>
      </c>
      <c r="CQ119">
        <v>6</v>
      </c>
      <c r="CR119">
        <v>1</v>
      </c>
      <c r="CS119">
        <v>1</v>
      </c>
      <c r="CT119">
        <v>6</v>
      </c>
      <c r="CU119">
        <v>6</v>
      </c>
      <c r="CV119">
        <v>2</v>
      </c>
      <c r="CW119">
        <v>3</v>
      </c>
      <c r="CX119" s="100" t="s">
        <v>15</v>
      </c>
      <c r="CY119">
        <v>6</v>
      </c>
      <c r="CZ119">
        <v>1</v>
      </c>
      <c r="DA119">
        <v>3</v>
      </c>
      <c r="DB119">
        <v>1</v>
      </c>
      <c r="DC119">
        <v>5</v>
      </c>
      <c r="DD119">
        <v>3</v>
      </c>
      <c r="DE119">
        <v>4</v>
      </c>
      <c r="DF119">
        <v>4</v>
      </c>
      <c r="DG119">
        <v>5</v>
      </c>
      <c r="DH119" s="100" t="s">
        <v>223</v>
      </c>
      <c r="DI119" s="100" t="s">
        <v>223</v>
      </c>
      <c r="DJ119"/>
      <c r="DK119"/>
      <c r="DL119"/>
      <c r="DM119"/>
      <c r="DN119"/>
      <c r="DO119"/>
      <c r="DP119"/>
      <c r="DQ119"/>
      <c r="DR119"/>
      <c r="DS119"/>
    </row>
    <row r="120" spans="1:145" s="27" customFormat="1" ht="14">
      <c r="A120" s="84">
        <v>43861.613807870373</v>
      </c>
      <c r="B120" s="27" t="str">
        <f ca="1">IFERROR(__xludf.DUMMYFUNCTION("""COMPUTED_VALUE"""),"E00175")</f>
        <v>E00175</v>
      </c>
      <c r="C120" s="86">
        <f t="shared" si="4"/>
        <v>119</v>
      </c>
      <c r="D120" s="27" t="s">
        <v>139</v>
      </c>
      <c r="E120" s="27" t="s">
        <v>19</v>
      </c>
      <c r="F120" s="27">
        <v>10</v>
      </c>
      <c r="G120" s="27">
        <f ca="1">IFERROR(__xludf.DUMMYFUNCTION("""COMPUTED_VALUE"""),23.3)</f>
        <v>23.3</v>
      </c>
      <c r="H120" s="27">
        <f ca="1">IFERROR(__xludf.DUMMYFUNCTION("""COMPUTED_VALUE"""),44)</f>
        <v>44</v>
      </c>
      <c r="I120" s="27">
        <v>966</v>
      </c>
      <c r="J120" s="27">
        <v>1.1000000000000001</v>
      </c>
      <c r="K120" s="27">
        <v>152</v>
      </c>
      <c r="L120" s="27">
        <v>0.49000000000000005</v>
      </c>
      <c r="M120" s="27">
        <v>22.2864523054565</v>
      </c>
      <c r="N120" s="27">
        <v>0.05</v>
      </c>
      <c r="O120" s="27">
        <v>47.1</v>
      </c>
      <c r="P120" s="27">
        <f ca="1">IFERROR(__xludf.DUMMYFUNCTION("""COMPUTED_VALUE"""),1.25)</f>
        <v>1.25</v>
      </c>
      <c r="R120" s="27">
        <f ca="1">IFERROR(__xludf.DUMMYFUNCTION("""COMPUTED_VALUE"""),123.6)</f>
        <v>123.6</v>
      </c>
      <c r="S120" s="27">
        <f ca="1">IFERROR(__xludf.DUMMYFUNCTION("""COMPUTED_VALUE"""),172)</f>
        <v>172</v>
      </c>
      <c r="T120" s="27">
        <f ca="1">IFERROR(__xludf.DUMMYFUNCTION("""COMPUTED_VALUE"""),90)</f>
        <v>90</v>
      </c>
      <c r="V120" s="27">
        <f t="shared" ca="1" si="5"/>
        <v>147.80000000000001</v>
      </c>
      <c r="AD120" s="27">
        <v>3</v>
      </c>
      <c r="AF120" t="str">
        <f ca="1">IFERROR(__xludf.DUMMYFUNCTION("""COMPUTED_VALUE"""),"Open plan")</f>
        <v>Open plan</v>
      </c>
      <c r="AG120" t="str">
        <f ca="1">IFERROR(__xludf.DUMMYFUNCTION("""COMPUTED_VALUE"""),"Yes")</f>
        <v>Yes</v>
      </c>
      <c r="AH120" t="str">
        <f ca="1">IFERROR(__xludf.DUMMYFUNCTION("""COMPUTED_VALUE"""),"Yes")</f>
        <v>Yes</v>
      </c>
      <c r="AI120" t="str">
        <f ca="1">IFERROR(__xludf.DUMMYFUNCTION("""COMPUTED_VALUE"""),"Yes")</f>
        <v>Yes</v>
      </c>
      <c r="AJ120" t="str">
        <f ca="1">IFERROR(__xludf.DUMMYFUNCTION("""COMPUTED_VALUE"""),"HALF")</f>
        <v>HALF</v>
      </c>
      <c r="AK120">
        <v>0</v>
      </c>
      <c r="AL120"/>
      <c r="AM120" t="str">
        <f ca="1">IFERROR(__xludf.DUMMYFUNCTION("""COMPUTED_VALUE"""),"LAMINATE")</f>
        <v>LAMINATE</v>
      </c>
      <c r="AN120" t="str">
        <f ca="1">IFERROR(__xludf.DUMMYFUNCTION("""COMPUTED_VALUE"""),"WHITE")</f>
        <v>WHITE</v>
      </c>
      <c r="AO120" t="str">
        <f ca="1">IFERROR(__xludf.DUMMYFUNCTION("""COMPUTED_VALUE"""),"Office chair")</f>
        <v>Office chair</v>
      </c>
      <c r="AP120" t="str">
        <f ca="1">IFERROR(__xludf.DUMMYFUNCTION("""COMPUTED_VALUE"""),"CLOTH")</f>
        <v>CLOTH</v>
      </c>
      <c r="AQ120" t="str">
        <f ca="1">IFERROR(__xludf.DUMMYFUNCTION("""COMPUTED_VALUE"""),"Carpet")</f>
        <v>Carpet</v>
      </c>
      <c r="AR120" t="str">
        <f ca="1">IFERROR(__xludf.DUMMYFUNCTION("""COMPUTED_VALUE"""),"GREY")</f>
        <v>GREY</v>
      </c>
      <c r="AS120" t="str">
        <f ca="1">IFERROR(__xludf.DUMMYFUNCTION("""COMPUTED_VALUE"""),"WHITE")</f>
        <v>WHITE</v>
      </c>
      <c r="AT120" t="str">
        <f ca="1">IFERROR(__xludf.DUMMYFUNCTION("""COMPUTED_VALUE"""),"wood and white")</f>
        <v>wood and white</v>
      </c>
      <c r="AU120" t="str">
        <f ca="1">IFERROR(__xludf.DUMMYFUNCTION("""COMPUTED_VALUE"""),"Grey")</f>
        <v>Grey</v>
      </c>
      <c r="AV120" t="str">
        <f ca="1">IFERROR(__xludf.DUMMYFUNCTION("""COMPUTED_VALUE"""),"No")</f>
        <v>No</v>
      </c>
      <c r="AW120">
        <f ca="1">IFERROR(__xludf.DUMMYFUNCTION("""COMPUTED_VALUE"""),123.6)</f>
        <v>123.6</v>
      </c>
      <c r="AX120">
        <f ca="1">IFERROR(__xludf.DUMMYFUNCTION("""COMPUTED_VALUE"""),172)</f>
        <v>172</v>
      </c>
      <c r="AY120">
        <f ca="1">IFERROR(__xludf.DUMMYFUNCTION("""COMPUTED_VALUE"""),90)</f>
        <v>90</v>
      </c>
      <c r="AZ120" t="str">
        <f ca="1">IFERROR(__xludf.DUMMYFUNCTION("""COMPUTED_VALUE"""),"No")</f>
        <v>No</v>
      </c>
      <c r="BA120">
        <f ca="1">IFERROR(__xludf.DUMMYFUNCTION("""COMPUTED_VALUE"""),3.7)</f>
        <v>3.7</v>
      </c>
      <c r="BB120" t="str">
        <f ca="1">IFERROR(__xludf.DUMMYFUNCTION("""COMPUTED_VALUE"""),"NA")</f>
        <v>NA</v>
      </c>
      <c r="BC120" t="str">
        <f ca="1">IFERROR(__xludf.DUMMYFUNCTION("""COMPUTED_VALUE"""),"No")</f>
        <v>No</v>
      </c>
      <c r="BD120">
        <f ca="1">IFERROR(__xludf.DUMMYFUNCTION("""COMPUTED_VALUE"""),2)</f>
        <v>2</v>
      </c>
      <c r="BE120" t="str">
        <f ca="1">IFERROR(__xludf.DUMMYFUNCTION("""COMPUTED_VALUE"""),"SE")</f>
        <v>SE</v>
      </c>
      <c r="BF120" t="str">
        <f ca="1">IFERROR(__xludf.DUMMYFUNCTION("""COMPUTED_VALUE"""),"NA")</f>
        <v>NA</v>
      </c>
      <c r="BG120" t="str">
        <f ca="1">IFERROR(__xludf.DUMMYFUNCTION("""COMPUTED_VALUE"""),"NA")</f>
        <v>NA</v>
      </c>
      <c r="BH120">
        <f ca="1">IFERROR(__xludf.DUMMYFUNCTION("""COMPUTED_VALUE"""),1.52)</f>
        <v>1.52</v>
      </c>
      <c r="BI120">
        <f ca="1">IFERROR(__xludf.DUMMYFUNCTION("""COMPUTED_VALUE"""),0.6)</f>
        <v>0.6</v>
      </c>
      <c r="BJ120">
        <f ca="1">IFERROR(__xludf.DUMMYFUNCTION("""COMPUTED_VALUE"""),0.75)</f>
        <v>0.75</v>
      </c>
      <c r="BK120">
        <f ca="1">IFERROR(__xludf.DUMMYFUNCTION("""COMPUTED_VALUE"""),1.25)</f>
        <v>1.25</v>
      </c>
      <c r="BL120">
        <v>2</v>
      </c>
      <c r="BM120">
        <v>2</v>
      </c>
      <c r="BN120">
        <v>2</v>
      </c>
      <c r="BO120">
        <v>2</v>
      </c>
      <c r="BP120">
        <v>2</v>
      </c>
      <c r="BQ120">
        <v>3</v>
      </c>
      <c r="BR120">
        <v>3</v>
      </c>
      <c r="BS120">
        <v>1</v>
      </c>
      <c r="BT120">
        <v>3</v>
      </c>
      <c r="BU120">
        <v>4</v>
      </c>
      <c r="BV120">
        <v>6</v>
      </c>
      <c r="BW120">
        <v>3</v>
      </c>
      <c r="BX120">
        <v>2</v>
      </c>
      <c r="BY120">
        <v>2</v>
      </c>
      <c r="BZ120">
        <v>1</v>
      </c>
      <c r="CA120">
        <v>7</v>
      </c>
      <c r="CB120">
        <v>6</v>
      </c>
      <c r="CC120">
        <v>6</v>
      </c>
      <c r="CD120">
        <v>2</v>
      </c>
      <c r="CE120">
        <v>1</v>
      </c>
      <c r="CF120">
        <v>6</v>
      </c>
      <c r="CG120">
        <v>1</v>
      </c>
      <c r="CH120">
        <v>2</v>
      </c>
      <c r="CI120">
        <v>6</v>
      </c>
      <c r="CJ120">
        <v>3</v>
      </c>
      <c r="CK120">
        <v>4</v>
      </c>
      <c r="CL120">
        <v>3</v>
      </c>
      <c r="CM120">
        <v>1</v>
      </c>
      <c r="CN120" s="100" t="s">
        <v>223</v>
      </c>
      <c r="CO120">
        <v>2</v>
      </c>
      <c r="CP120">
        <v>6</v>
      </c>
      <c r="CQ120">
        <v>4</v>
      </c>
      <c r="CR120">
        <v>1</v>
      </c>
      <c r="CS120">
        <v>2</v>
      </c>
      <c r="CT120">
        <v>7</v>
      </c>
      <c r="CU120">
        <v>6</v>
      </c>
      <c r="CV120">
        <v>2</v>
      </c>
      <c r="CW120">
        <v>3</v>
      </c>
      <c r="CX120" s="100" t="s">
        <v>15</v>
      </c>
      <c r="CY120">
        <v>5</v>
      </c>
      <c r="CZ120">
        <v>1</v>
      </c>
      <c r="DA120">
        <v>3</v>
      </c>
      <c r="DB120">
        <v>1</v>
      </c>
      <c r="DC120">
        <v>4</v>
      </c>
      <c r="DD120">
        <v>3</v>
      </c>
      <c r="DE120">
        <v>6</v>
      </c>
      <c r="DF120">
        <v>3</v>
      </c>
      <c r="DG120">
        <v>5</v>
      </c>
      <c r="DH120" s="100" t="s">
        <v>556</v>
      </c>
      <c r="DI120" s="100" t="s">
        <v>223</v>
      </c>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row>
    <row r="121" spans="1:145" s="27" customFormat="1" ht="14">
      <c r="A121" s="84">
        <v>43861.613807870373</v>
      </c>
      <c r="B121" s="27" t="str">
        <f ca="1">IFERROR(__xludf.DUMMYFUNCTION("""COMPUTED_VALUE"""),"E00190")</f>
        <v>E00190</v>
      </c>
      <c r="C121" s="86">
        <f t="shared" si="4"/>
        <v>120</v>
      </c>
      <c r="D121" s="27" t="s">
        <v>139</v>
      </c>
      <c r="E121" s="27" t="s">
        <v>19</v>
      </c>
      <c r="F121" s="27">
        <v>10</v>
      </c>
      <c r="G121" s="27">
        <f ca="1">IFERROR(__xludf.DUMMYFUNCTION("""COMPUTED_VALUE"""),22.3)</f>
        <v>22.3</v>
      </c>
      <c r="H121" s="27">
        <f ca="1">IFERROR(__xludf.DUMMYFUNCTION("""COMPUTED_VALUE"""),47.9)</f>
        <v>47.9</v>
      </c>
      <c r="I121" s="27">
        <v>966</v>
      </c>
      <c r="J121" s="27">
        <v>1.1000000000000001</v>
      </c>
      <c r="K121" s="27">
        <v>152</v>
      </c>
      <c r="L121" s="27">
        <v>0.63</v>
      </c>
      <c r="M121" s="27">
        <v>21.344000000000001</v>
      </c>
      <c r="N121" s="27">
        <v>0.02</v>
      </c>
      <c r="O121" s="27">
        <v>40</v>
      </c>
      <c r="P121" s="27">
        <v>0</v>
      </c>
      <c r="R121" s="27">
        <f ca="1">IFERROR(__xludf.DUMMYFUNCTION("""COMPUTED_VALUE"""),215)</f>
        <v>215</v>
      </c>
      <c r="S121" s="27">
        <f ca="1">IFERROR(__xludf.DUMMYFUNCTION("""COMPUTED_VALUE"""),163)</f>
        <v>163</v>
      </c>
      <c r="T121" s="27">
        <f ca="1">IFERROR(__xludf.DUMMYFUNCTION("""COMPUTED_VALUE"""),85)</f>
        <v>85</v>
      </c>
      <c r="V121" s="27">
        <f t="shared" ca="1" si="5"/>
        <v>189</v>
      </c>
      <c r="AD121" s="27">
        <v>3</v>
      </c>
      <c r="AF121" t="str">
        <f ca="1">IFERROR(__xludf.DUMMYFUNCTION("""COMPUTED_VALUE"""),"Open plan")</f>
        <v>Open plan</v>
      </c>
      <c r="AG121" t="str">
        <f ca="1">IFERROR(__xludf.DUMMYFUNCTION("""COMPUTED_VALUE"""),"Yes")</f>
        <v>Yes</v>
      </c>
      <c r="AH121" t="str">
        <f ca="1">IFERROR(__xludf.DUMMYFUNCTION("""COMPUTED_VALUE"""),"Yes")</f>
        <v>Yes</v>
      </c>
      <c r="AI121" t="str">
        <f ca="1">IFERROR(__xludf.DUMMYFUNCTION("""COMPUTED_VALUE"""),"Yes")</f>
        <v>Yes</v>
      </c>
      <c r="AJ121" t="str">
        <f ca="1">IFERROR(__xludf.DUMMYFUNCTION("""COMPUTED_VALUE"""),"No")</f>
        <v>No</v>
      </c>
      <c r="AK121">
        <v>0</v>
      </c>
      <c r="AL121"/>
      <c r="AM121" t="str">
        <f ca="1">IFERROR(__xludf.DUMMYFUNCTION("""COMPUTED_VALUE"""),"laminate")</f>
        <v>laminate</v>
      </c>
      <c r="AN121" t="str">
        <f ca="1">IFERROR(__xludf.DUMMYFUNCTION("""COMPUTED_VALUE"""),"White")</f>
        <v>White</v>
      </c>
      <c r="AO121" t="str">
        <f ca="1">IFERROR(__xludf.DUMMYFUNCTION("""COMPUTED_VALUE"""),"Office chair")</f>
        <v>Office chair</v>
      </c>
      <c r="AP121" t="str">
        <f ca="1">IFERROR(__xludf.DUMMYFUNCTION("""COMPUTED_VALUE"""),"CLOTH")</f>
        <v>CLOTH</v>
      </c>
      <c r="AQ121" t="str">
        <f ca="1">IFERROR(__xludf.DUMMYFUNCTION("""COMPUTED_VALUE"""),"Carpet")</f>
        <v>Carpet</v>
      </c>
      <c r="AR121" t="str">
        <f ca="1">IFERROR(__xludf.DUMMYFUNCTION("""COMPUTED_VALUE"""),"GREY")</f>
        <v>GREY</v>
      </c>
      <c r="AS121" t="str">
        <f ca="1">IFERROR(__xludf.DUMMYFUNCTION("""COMPUTED_VALUE"""),"WHITE")</f>
        <v>WHITE</v>
      </c>
      <c r="AT121" t="str">
        <f ca="1">IFERROR(__xludf.DUMMYFUNCTION("""COMPUTED_VALUE"""),"wood and white")</f>
        <v>wood and white</v>
      </c>
      <c r="AU121" t="str">
        <f ca="1">IFERROR(__xludf.DUMMYFUNCTION("""COMPUTED_VALUE"""),"Grey")</f>
        <v>Grey</v>
      </c>
      <c r="AV121" t="str">
        <f ca="1">IFERROR(__xludf.DUMMYFUNCTION("""COMPUTED_VALUE"""),"No")</f>
        <v>No</v>
      </c>
      <c r="AW121">
        <f ca="1">IFERROR(__xludf.DUMMYFUNCTION("""COMPUTED_VALUE"""),215)</f>
        <v>215</v>
      </c>
      <c r="AX121">
        <f ca="1">IFERROR(__xludf.DUMMYFUNCTION("""COMPUTED_VALUE"""),163)</f>
        <v>163</v>
      </c>
      <c r="AY121">
        <f ca="1">IFERROR(__xludf.DUMMYFUNCTION("""COMPUTED_VALUE"""),85)</f>
        <v>85</v>
      </c>
      <c r="AZ121" t="str">
        <f ca="1">IFERROR(__xludf.DUMMYFUNCTION("""COMPUTED_VALUE"""),"No")</f>
        <v>No</v>
      </c>
      <c r="BA121">
        <f ca="1">IFERROR(__xludf.DUMMYFUNCTION("""COMPUTED_VALUE"""),3.7)</f>
        <v>3.7</v>
      </c>
      <c r="BB121" t="str">
        <f ca="1">IFERROR(__xludf.DUMMYFUNCTION("""COMPUTED_VALUE"""),"NA")</f>
        <v>NA</v>
      </c>
      <c r="BC121" t="str">
        <f ca="1">IFERROR(__xludf.DUMMYFUNCTION("""COMPUTED_VALUE"""),"No")</f>
        <v>No</v>
      </c>
      <c r="BD121">
        <f ca="1">IFERROR(__xludf.DUMMYFUNCTION("""COMPUTED_VALUE"""),0.6)</f>
        <v>0.6</v>
      </c>
      <c r="BE121" t="str">
        <f ca="1">IFERROR(__xludf.DUMMYFUNCTION("""COMPUTED_VALUE"""),"E")</f>
        <v>E</v>
      </c>
      <c r="BF121">
        <f ca="1">IFERROR(__xludf.DUMMYFUNCTION("""COMPUTED_VALUE"""),8.6)</f>
        <v>8.6</v>
      </c>
      <c r="BG121" t="str">
        <f ca="1">IFERROR(__xludf.DUMMYFUNCTION("""COMPUTED_VALUE"""),"W")</f>
        <v>W</v>
      </c>
      <c r="BH121">
        <f ca="1">IFERROR(__xludf.DUMMYFUNCTION("""COMPUTED_VALUE"""),1.9)</f>
        <v>1.9</v>
      </c>
      <c r="BI121">
        <f ca="1">IFERROR(__xludf.DUMMYFUNCTION("""COMPUTED_VALUE"""),0.92)</f>
        <v>0.92</v>
      </c>
      <c r="BJ121">
        <f ca="1">IFERROR(__xludf.DUMMYFUNCTION("""COMPUTED_VALUE"""),0.74)</f>
        <v>0.74</v>
      </c>
      <c r="BK121" t="str">
        <f ca="1">IFERROR(__xludf.DUMMYFUNCTION("""COMPUTED_VALUE"""),"NA")</f>
        <v>NA</v>
      </c>
      <c r="BL121">
        <v>1</v>
      </c>
      <c r="BM121">
        <v>1</v>
      </c>
      <c r="BN121">
        <v>4</v>
      </c>
      <c r="BO121">
        <v>3</v>
      </c>
      <c r="BP121">
        <v>2</v>
      </c>
      <c r="BQ121">
        <v>2</v>
      </c>
      <c r="BR121">
        <v>3</v>
      </c>
      <c r="BS121">
        <v>1</v>
      </c>
      <c r="BT121">
        <v>3</v>
      </c>
      <c r="BU121">
        <v>6</v>
      </c>
      <c r="BV121">
        <v>7</v>
      </c>
      <c r="BW121">
        <v>3</v>
      </c>
      <c r="BX121">
        <v>3</v>
      </c>
      <c r="BY121">
        <v>2</v>
      </c>
      <c r="BZ121">
        <v>1</v>
      </c>
      <c r="CA121">
        <v>7</v>
      </c>
      <c r="CB121">
        <v>6</v>
      </c>
      <c r="CC121">
        <v>7</v>
      </c>
      <c r="CD121">
        <v>2</v>
      </c>
      <c r="CE121">
        <v>1</v>
      </c>
      <c r="CF121">
        <v>7</v>
      </c>
      <c r="CG121">
        <v>1</v>
      </c>
      <c r="CH121">
        <v>1</v>
      </c>
      <c r="CI121">
        <v>5</v>
      </c>
      <c r="CJ121">
        <v>6</v>
      </c>
      <c r="CK121">
        <v>5</v>
      </c>
      <c r="CL121">
        <v>6</v>
      </c>
      <c r="CM121">
        <v>1</v>
      </c>
      <c r="CN121" s="100" t="s">
        <v>223</v>
      </c>
      <c r="CO121">
        <v>2</v>
      </c>
      <c r="CP121">
        <v>3</v>
      </c>
      <c r="CQ121">
        <v>7</v>
      </c>
      <c r="CR121">
        <v>1</v>
      </c>
      <c r="CS121">
        <v>1</v>
      </c>
      <c r="CT121">
        <v>7</v>
      </c>
      <c r="CU121">
        <v>5</v>
      </c>
      <c r="CV121">
        <v>3</v>
      </c>
      <c r="CW121">
        <v>3</v>
      </c>
      <c r="CX121" s="100" t="s">
        <v>557</v>
      </c>
      <c r="CY121">
        <v>5</v>
      </c>
      <c r="CZ121">
        <v>1</v>
      </c>
      <c r="DA121">
        <v>3</v>
      </c>
      <c r="DB121">
        <v>1</v>
      </c>
      <c r="DC121">
        <v>6</v>
      </c>
      <c r="DD121">
        <v>3</v>
      </c>
      <c r="DE121">
        <v>6</v>
      </c>
      <c r="DF121">
        <v>6</v>
      </c>
      <c r="DG121">
        <v>5</v>
      </c>
      <c r="DH121" s="100" t="s">
        <v>558</v>
      </c>
      <c r="DI121" s="100" t="s">
        <v>223</v>
      </c>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row>
    <row r="122" spans="1:145" s="48" customFormat="1" ht="28">
      <c r="A122" s="50">
        <v>43864.451724537037</v>
      </c>
      <c r="B122" s="48" t="str">
        <f ca="1">IFERROR(__xludf.DUMMYFUNCTION("""COMPUTED_VALUE"""),"E00105")</f>
        <v>E00105</v>
      </c>
      <c r="C122" s="86">
        <f t="shared" si="4"/>
        <v>121</v>
      </c>
      <c r="D122" s="48" t="s">
        <v>139</v>
      </c>
      <c r="E122" s="48" t="s">
        <v>66</v>
      </c>
      <c r="F122" s="48">
        <v>11</v>
      </c>
      <c r="G122" s="48">
        <f ca="1">IFERROR(__xludf.DUMMYFUNCTION("""COMPUTED_VALUE"""),22.1)</f>
        <v>22.1</v>
      </c>
      <c r="H122" s="48">
        <f ca="1">IFERROR(__xludf.DUMMYFUNCTION("""COMPUTED_VALUE"""),27.9)</f>
        <v>27.9</v>
      </c>
      <c r="I122" s="48">
        <v>694</v>
      </c>
      <c r="J122" s="48">
        <v>0.8</v>
      </c>
      <c r="K122" s="48">
        <v>123</v>
      </c>
      <c r="L122" s="48">
        <v>0.82</v>
      </c>
      <c r="M122" s="48">
        <v>21.671500000000002</v>
      </c>
      <c r="N122" s="48">
        <v>0.04</v>
      </c>
      <c r="O122" s="48">
        <v>42</v>
      </c>
      <c r="P122" s="48">
        <v>0</v>
      </c>
      <c r="R122" s="48">
        <f ca="1">IFERROR(__xludf.DUMMYFUNCTION("""COMPUTED_VALUE"""),529)</f>
        <v>529</v>
      </c>
      <c r="S122" s="48">
        <f ca="1">IFERROR(__xludf.DUMMYFUNCTION("""COMPUTED_VALUE"""),137)</f>
        <v>137</v>
      </c>
      <c r="T122" s="48">
        <f ca="1">IFERROR(__xludf.DUMMYFUNCTION("""COMPUTED_VALUE"""),255)</f>
        <v>255</v>
      </c>
      <c r="V122" s="48">
        <f t="shared" ref="V122:V142" ca="1" si="6">AVERAGE(R122:S122)</f>
        <v>333</v>
      </c>
      <c r="AD122" s="48">
        <v>3</v>
      </c>
      <c r="AF122" t="str">
        <f ca="1">IFERROR(__xludf.DUMMYFUNCTION("""COMPUTED_VALUE"""),"Private")</f>
        <v>Private</v>
      </c>
      <c r="AG122" t="str">
        <f ca="1">IFERROR(__xludf.DUMMYFUNCTION("""COMPUTED_VALUE"""),"No")</f>
        <v>No</v>
      </c>
      <c r="AH122" t="str">
        <f ca="1">IFERROR(__xludf.DUMMYFUNCTION("""COMPUTED_VALUE"""),"Yes")</f>
        <v>Yes</v>
      </c>
      <c r="AI122" t="str">
        <f ca="1">IFERROR(__xludf.DUMMYFUNCTION("""COMPUTED_VALUE"""),"Yes")</f>
        <v>Yes</v>
      </c>
      <c r="AJ122" t="str">
        <f ca="1">IFERROR(__xludf.DUMMYFUNCTION("""COMPUTED_VALUE"""),"No")</f>
        <v>No</v>
      </c>
      <c r="AK122">
        <v>0</v>
      </c>
      <c r="AL122"/>
      <c r="AM122" t="str">
        <f ca="1">IFERROR(__xludf.DUMMYFUNCTION("""COMPUTED_VALUE"""),"Wood")</f>
        <v>Wood</v>
      </c>
      <c r="AN122" t="str">
        <f ca="1">IFERROR(__xludf.DUMMYFUNCTION("""COMPUTED_VALUE"""),"Brown")</f>
        <v>Brown</v>
      </c>
      <c r="AO122" t="str">
        <f ca="1">IFERROR(__xludf.DUMMYFUNCTION("""COMPUTED_VALUE"""),"Office chair")</f>
        <v>Office chair</v>
      </c>
      <c r="AP122" t="str">
        <f ca="1">IFERROR(__xludf.DUMMYFUNCTION("""COMPUTED_VALUE"""),"Cloth")</f>
        <v>Cloth</v>
      </c>
      <c r="AQ122" t="str">
        <f ca="1">IFERROR(__xludf.DUMMYFUNCTION("""COMPUTED_VALUE"""),"Carpet")</f>
        <v>Carpet</v>
      </c>
      <c r="AR122" t="str">
        <f ca="1">IFERROR(__xludf.DUMMYFUNCTION("""COMPUTED_VALUE"""),"Grey")</f>
        <v>Grey</v>
      </c>
      <c r="AS122" t="str">
        <f ca="1">IFERROR(__xludf.DUMMYFUNCTION("""COMPUTED_VALUE"""),"White")</f>
        <v>White</v>
      </c>
      <c r="AT122" t="str">
        <f ca="1">IFERROR(__xludf.DUMMYFUNCTION("""COMPUTED_VALUE"""),"White")</f>
        <v>White</v>
      </c>
      <c r="AU122" t="str">
        <f ca="1">IFERROR(__xludf.DUMMYFUNCTION("""COMPUTED_VALUE"""),"NA")</f>
        <v>NA</v>
      </c>
      <c r="AV122" t="str">
        <f ca="1">IFERROR(__xludf.DUMMYFUNCTION("""COMPUTED_VALUE"""),"Yes")</f>
        <v>Yes</v>
      </c>
      <c r="AW122">
        <f ca="1">IFERROR(__xludf.DUMMYFUNCTION("""COMPUTED_VALUE"""),529)</f>
        <v>529</v>
      </c>
      <c r="AX122">
        <f ca="1">IFERROR(__xludf.DUMMYFUNCTION("""COMPUTED_VALUE"""),137)</f>
        <v>137</v>
      </c>
      <c r="AY122">
        <f ca="1">IFERROR(__xludf.DUMMYFUNCTION("""COMPUTED_VALUE"""),255)</f>
        <v>255</v>
      </c>
      <c r="AZ122" t="str">
        <f ca="1">IFERROR(__xludf.DUMMYFUNCTION("""COMPUTED_VALUE"""),"Yes")</f>
        <v>Yes</v>
      </c>
      <c r="BA122">
        <f ca="1">IFERROR(__xludf.DUMMYFUNCTION("""COMPUTED_VALUE"""),2.58)</f>
        <v>2.58</v>
      </c>
      <c r="BB122" t="str">
        <f ca="1">IFERROR(__xludf.DUMMYFUNCTION("""COMPUTED_VALUE"""),"NA")</f>
        <v>NA</v>
      </c>
      <c r="BC122" t="str">
        <f ca="1">IFERROR(__xludf.DUMMYFUNCTION("""COMPUTED_VALUE"""),"No")</f>
        <v>No</v>
      </c>
      <c r="BD122">
        <f ca="1">IFERROR(__xludf.DUMMYFUNCTION("""COMPUTED_VALUE"""),3.5)</f>
        <v>3.5</v>
      </c>
      <c r="BE122" t="str">
        <f ca="1">IFERROR(__xludf.DUMMYFUNCTION("""COMPUTED_VALUE"""),"W")</f>
        <v>W</v>
      </c>
      <c r="BF122" t="str">
        <f ca="1">IFERROR(__xludf.DUMMYFUNCTION("""COMPUTED_VALUE"""),"NA")</f>
        <v>NA</v>
      </c>
      <c r="BG122" t="str">
        <f ca="1">IFERROR(__xludf.DUMMYFUNCTION("""COMPUTED_VALUE"""),"NA")</f>
        <v>NA</v>
      </c>
      <c r="BH122">
        <f ca="1">IFERROR(__xludf.DUMMYFUNCTION("""COMPUTED_VALUE"""),1.52)</f>
        <v>1.52</v>
      </c>
      <c r="BI122">
        <f ca="1">IFERROR(__xludf.DUMMYFUNCTION("""COMPUTED_VALUE"""),0.61)</f>
        <v>0.61</v>
      </c>
      <c r="BJ122">
        <f ca="1">IFERROR(__xludf.DUMMYFUNCTION("""COMPUTED_VALUE"""),0.77)</f>
        <v>0.77</v>
      </c>
      <c r="BK122" t="str">
        <f ca="1">IFERROR(__xludf.DUMMYFUNCTION("""COMPUTED_VALUE"""),"NA")</f>
        <v>NA</v>
      </c>
      <c r="BL122">
        <v>2</v>
      </c>
      <c r="BM122">
        <v>3</v>
      </c>
      <c r="BN122">
        <v>4</v>
      </c>
      <c r="BO122">
        <v>2</v>
      </c>
      <c r="BP122">
        <v>2</v>
      </c>
      <c r="BQ122">
        <v>2</v>
      </c>
      <c r="BR122">
        <v>3</v>
      </c>
      <c r="BS122">
        <v>1</v>
      </c>
      <c r="BT122">
        <v>2</v>
      </c>
      <c r="BU122">
        <v>4</v>
      </c>
      <c r="BV122">
        <v>2</v>
      </c>
      <c r="BW122">
        <v>5</v>
      </c>
      <c r="BX122">
        <v>2</v>
      </c>
      <c r="BY122">
        <v>3</v>
      </c>
      <c r="BZ122">
        <v>1</v>
      </c>
      <c r="CA122">
        <v>7</v>
      </c>
      <c r="CB122">
        <v>7</v>
      </c>
      <c r="CC122">
        <v>7</v>
      </c>
      <c r="CD122">
        <v>1</v>
      </c>
      <c r="CE122">
        <v>1</v>
      </c>
      <c r="CF122">
        <v>7</v>
      </c>
      <c r="CG122">
        <v>1</v>
      </c>
      <c r="CH122">
        <v>3</v>
      </c>
      <c r="CI122">
        <v>5</v>
      </c>
      <c r="CJ122">
        <v>7</v>
      </c>
      <c r="CK122">
        <v>4</v>
      </c>
      <c r="CL122">
        <v>7</v>
      </c>
      <c r="CM122">
        <v>3</v>
      </c>
      <c r="CN122" s="100" t="s">
        <v>223</v>
      </c>
      <c r="CO122">
        <v>2</v>
      </c>
      <c r="CP122">
        <v>6</v>
      </c>
      <c r="CQ122">
        <v>7</v>
      </c>
      <c r="CR122">
        <v>1</v>
      </c>
      <c r="CS122">
        <v>1</v>
      </c>
      <c r="CT122">
        <v>6</v>
      </c>
      <c r="CU122">
        <v>6</v>
      </c>
      <c r="CV122">
        <v>2</v>
      </c>
      <c r="CW122">
        <v>1</v>
      </c>
      <c r="CX122" s="100" t="s">
        <v>237</v>
      </c>
      <c r="CY122">
        <v>6</v>
      </c>
      <c r="CZ122">
        <v>1</v>
      </c>
      <c r="DA122">
        <v>3</v>
      </c>
      <c r="DB122">
        <v>3</v>
      </c>
      <c r="DC122">
        <v>2</v>
      </c>
      <c r="DD122">
        <v>3</v>
      </c>
      <c r="DE122">
        <v>6</v>
      </c>
      <c r="DF122">
        <v>5</v>
      </c>
      <c r="DG122">
        <v>1</v>
      </c>
      <c r="DH122" s="100" t="s">
        <v>559</v>
      </c>
      <c r="DI122" s="100" t="s">
        <v>223</v>
      </c>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row>
    <row r="123" spans="1:145" s="48" customFormat="1" ht="14">
      <c r="A123" s="50">
        <v>43864.465752314813</v>
      </c>
      <c r="B123" s="48" t="str">
        <f ca="1">IFERROR(__xludf.DUMMYFUNCTION("""COMPUTED_VALUE"""),"E00220")</f>
        <v>E00220</v>
      </c>
      <c r="C123" s="86">
        <f t="shared" si="4"/>
        <v>122</v>
      </c>
      <c r="D123" s="48" t="s">
        <v>139</v>
      </c>
      <c r="E123" s="48" t="s">
        <v>66</v>
      </c>
      <c r="F123" s="48">
        <v>11</v>
      </c>
      <c r="G123" s="48">
        <f ca="1">IFERROR(__xludf.DUMMYFUNCTION("""COMPUTED_VALUE"""),22.7)</f>
        <v>22.7</v>
      </c>
      <c r="H123" s="48">
        <f ca="1">IFERROR(__xludf.DUMMYFUNCTION("""COMPUTED_VALUE"""),26.3)</f>
        <v>26.3</v>
      </c>
      <c r="I123" s="48">
        <v>725</v>
      </c>
      <c r="J123" s="48">
        <v>0.7</v>
      </c>
      <c r="K123" s="48">
        <v>116</v>
      </c>
      <c r="L123" s="48">
        <v>0.90000000000000013</v>
      </c>
      <c r="M123" s="48">
        <v>22.3812</v>
      </c>
      <c r="N123" s="48">
        <v>7.0000000000000007E-2</v>
      </c>
      <c r="O123" s="48">
        <v>44</v>
      </c>
      <c r="P123" s="48">
        <f ca="1">IFERROR(__xludf.DUMMYFUNCTION("""COMPUTED_VALUE"""),1.68)</f>
        <v>1.68</v>
      </c>
      <c r="R123" s="48">
        <f ca="1">IFERROR(__xludf.DUMMYFUNCTION("""COMPUTED_VALUE"""),335)</f>
        <v>335</v>
      </c>
      <c r="S123" s="48">
        <f ca="1">IFERROR(__xludf.DUMMYFUNCTION("""COMPUTED_VALUE"""),393)</f>
        <v>393</v>
      </c>
      <c r="T123" s="48">
        <f ca="1">IFERROR(__xludf.DUMMYFUNCTION("""COMPUTED_VALUE"""),234)</f>
        <v>234</v>
      </c>
      <c r="V123" s="48">
        <f t="shared" ca="1" si="6"/>
        <v>364</v>
      </c>
      <c r="AD123" s="48">
        <v>1</v>
      </c>
      <c r="AF123" t="str">
        <f ca="1">IFERROR(__xludf.DUMMYFUNCTION("""COMPUTED_VALUE"""),"Semi private (2-5 desks)")</f>
        <v>Semi private (2-5 desks)</v>
      </c>
      <c r="AG123" t="str">
        <f ca="1">IFERROR(__xludf.DUMMYFUNCTION("""COMPUTED_VALUE"""),"No")</f>
        <v>No</v>
      </c>
      <c r="AH123" t="str">
        <f ca="1">IFERROR(__xludf.DUMMYFUNCTION("""COMPUTED_VALUE"""),"Yes")</f>
        <v>Yes</v>
      </c>
      <c r="AI123" t="str">
        <f ca="1">IFERROR(__xludf.DUMMYFUNCTION("""COMPUTED_VALUE"""),"Yes")</f>
        <v>Yes</v>
      </c>
      <c r="AJ123" t="str">
        <f ca="1">IFERROR(__xludf.DUMMYFUNCTION("""COMPUTED_VALUE"""),"Yes")</f>
        <v>Yes</v>
      </c>
      <c r="AK123">
        <v>0</v>
      </c>
      <c r="AL123"/>
      <c r="AM123" t="str">
        <f ca="1">IFERROR(__xludf.DUMMYFUNCTION("""COMPUTED_VALUE"""),"Laminate")</f>
        <v>Laminate</v>
      </c>
      <c r="AN123" t="str">
        <f ca="1">IFERROR(__xludf.DUMMYFUNCTION("""COMPUTED_VALUE"""),"White")</f>
        <v>White</v>
      </c>
      <c r="AO123" t="str">
        <f ca="1">IFERROR(__xludf.DUMMYFUNCTION("""COMPUTED_VALUE"""),"Office chair")</f>
        <v>Office chair</v>
      </c>
      <c r="AP123" t="str">
        <f ca="1">IFERROR(__xludf.DUMMYFUNCTION("""COMPUTED_VALUE"""),"Cloth")</f>
        <v>Cloth</v>
      </c>
      <c r="AQ123" t="str">
        <f ca="1">IFERROR(__xludf.DUMMYFUNCTION("""COMPUTED_VALUE"""),"Carpet")</f>
        <v>Carpet</v>
      </c>
      <c r="AR123" t="str">
        <f ca="1">IFERROR(__xludf.DUMMYFUNCTION("""COMPUTED_VALUE"""),"Grey")</f>
        <v>Grey</v>
      </c>
      <c r="AS123" t="str">
        <f ca="1">IFERROR(__xludf.DUMMYFUNCTION("""COMPUTED_VALUE"""),"White")</f>
        <v>White</v>
      </c>
      <c r="AT123" t="str">
        <f ca="1">IFERROR(__xludf.DUMMYFUNCTION("""COMPUTED_VALUE"""),"White")</f>
        <v>White</v>
      </c>
      <c r="AU123" t="str">
        <f ca="1">IFERROR(__xludf.DUMMYFUNCTION("""COMPUTED_VALUE"""),"Grey")</f>
        <v>Grey</v>
      </c>
      <c r="AV123" t="str">
        <f ca="1">IFERROR(__xludf.DUMMYFUNCTION("""COMPUTED_VALUE"""),"No")</f>
        <v>No</v>
      </c>
      <c r="AW123">
        <f ca="1">IFERROR(__xludf.DUMMYFUNCTION("""COMPUTED_VALUE"""),335)</f>
        <v>335</v>
      </c>
      <c r="AX123">
        <f ca="1">IFERROR(__xludf.DUMMYFUNCTION("""COMPUTED_VALUE"""),393)</f>
        <v>393</v>
      </c>
      <c r="AY123">
        <f ca="1">IFERROR(__xludf.DUMMYFUNCTION("""COMPUTED_VALUE"""),234)</f>
        <v>234</v>
      </c>
      <c r="AZ123" t="str">
        <f ca="1">IFERROR(__xludf.DUMMYFUNCTION("""COMPUTED_VALUE"""),"No")</f>
        <v>No</v>
      </c>
      <c r="BA123">
        <f ca="1">IFERROR(__xludf.DUMMYFUNCTION("""COMPUTED_VALUE"""),2.58)</f>
        <v>2.58</v>
      </c>
      <c r="BB123" t="str">
        <f ca="1">IFERROR(__xludf.DUMMYFUNCTION("""COMPUTED_VALUE"""),"NA")</f>
        <v>NA</v>
      </c>
      <c r="BC123" t="str">
        <f ca="1">IFERROR(__xludf.DUMMYFUNCTION("""COMPUTED_VALUE"""),"No")</f>
        <v>No</v>
      </c>
      <c r="BD123">
        <f ca="1">IFERROR(__xludf.DUMMYFUNCTION("""COMPUTED_VALUE"""),1)</f>
        <v>1</v>
      </c>
      <c r="BE123" t="str">
        <f ca="1">IFERROR(__xludf.DUMMYFUNCTION("""COMPUTED_VALUE"""),"NW")</f>
        <v>NW</v>
      </c>
      <c r="BF123" t="str">
        <f ca="1">IFERROR(__xludf.DUMMYFUNCTION("""COMPUTED_VALUE"""),"NA")</f>
        <v>NA</v>
      </c>
      <c r="BG123" t="str">
        <f ca="1">IFERROR(__xludf.DUMMYFUNCTION("""COMPUTED_VALUE"""),"NA")</f>
        <v>NA</v>
      </c>
      <c r="BH123">
        <f ca="1">IFERROR(__xludf.DUMMYFUNCTION("""COMPUTED_VALUE"""),1.52)</f>
        <v>1.52</v>
      </c>
      <c r="BI123">
        <f ca="1">IFERROR(__xludf.DUMMYFUNCTION("""COMPUTED_VALUE"""),0.6)</f>
        <v>0.6</v>
      </c>
      <c r="BJ123">
        <f ca="1">IFERROR(__xludf.DUMMYFUNCTION("""COMPUTED_VALUE"""),0.66)</f>
        <v>0.66</v>
      </c>
      <c r="BK123">
        <f ca="1">IFERROR(__xludf.DUMMYFUNCTION("""COMPUTED_VALUE"""),1.68)</f>
        <v>1.68</v>
      </c>
      <c r="BL123">
        <v>2</v>
      </c>
      <c r="BM123">
        <v>3</v>
      </c>
      <c r="BN123">
        <v>4</v>
      </c>
      <c r="BO123">
        <v>3</v>
      </c>
      <c r="BP123">
        <v>2</v>
      </c>
      <c r="BQ123">
        <v>1</v>
      </c>
      <c r="BR123">
        <v>1</v>
      </c>
      <c r="BS123">
        <v>1</v>
      </c>
      <c r="BT123">
        <v>3</v>
      </c>
      <c r="BU123">
        <v>1</v>
      </c>
      <c r="BV123">
        <v>1</v>
      </c>
      <c r="BW123">
        <v>1</v>
      </c>
      <c r="BX123">
        <v>1</v>
      </c>
      <c r="BY123">
        <v>1</v>
      </c>
      <c r="BZ123">
        <v>1</v>
      </c>
      <c r="CA123">
        <v>7</v>
      </c>
      <c r="CB123">
        <v>4</v>
      </c>
      <c r="CC123">
        <v>4</v>
      </c>
      <c r="CD123">
        <v>1</v>
      </c>
      <c r="CE123">
        <v>1</v>
      </c>
      <c r="CF123">
        <v>4</v>
      </c>
      <c r="CG123">
        <v>1</v>
      </c>
      <c r="CH123">
        <v>3</v>
      </c>
      <c r="CI123">
        <v>2</v>
      </c>
      <c r="CJ123">
        <v>1</v>
      </c>
      <c r="CK123">
        <v>4</v>
      </c>
      <c r="CL123">
        <v>4</v>
      </c>
      <c r="CM123">
        <v>3</v>
      </c>
      <c r="CN123" s="100" t="s">
        <v>223</v>
      </c>
      <c r="CO123">
        <v>1</v>
      </c>
      <c r="CP123">
        <v>1</v>
      </c>
      <c r="CQ123">
        <v>2</v>
      </c>
      <c r="CR123">
        <v>2</v>
      </c>
      <c r="CS123">
        <v>2</v>
      </c>
      <c r="CT123">
        <v>4</v>
      </c>
      <c r="CU123">
        <v>2</v>
      </c>
      <c r="CV123">
        <v>1</v>
      </c>
      <c r="CW123">
        <v>3</v>
      </c>
      <c r="CX123" s="100" t="s">
        <v>237</v>
      </c>
      <c r="CY123">
        <v>2</v>
      </c>
      <c r="CZ123">
        <v>1</v>
      </c>
      <c r="DA123">
        <v>3</v>
      </c>
      <c r="DB123">
        <v>4</v>
      </c>
      <c r="DC123">
        <v>1</v>
      </c>
      <c r="DD123">
        <v>3</v>
      </c>
      <c r="DE123">
        <v>4</v>
      </c>
      <c r="DF123">
        <v>1</v>
      </c>
      <c r="DG123">
        <v>5</v>
      </c>
      <c r="DH123" s="100" t="s">
        <v>223</v>
      </c>
      <c r="DI123" s="100" t="s">
        <v>223</v>
      </c>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row>
    <row r="124" spans="1:145" s="48" customFormat="1" ht="14">
      <c r="A124" s="50">
        <v>43864.468541666669</v>
      </c>
      <c r="B124" s="48" t="str">
        <f ca="1">IFERROR(__xludf.DUMMYFUNCTION("""COMPUTED_VALUE"""),"E00115")</f>
        <v>E00115</v>
      </c>
      <c r="C124" s="86">
        <f t="shared" si="4"/>
        <v>123</v>
      </c>
      <c r="D124" s="48" t="s">
        <v>139</v>
      </c>
      <c r="E124" s="48" t="s">
        <v>66</v>
      </c>
      <c r="F124" s="48">
        <v>11</v>
      </c>
      <c r="G124" s="48">
        <f ca="1">IFERROR(__xludf.DUMMYFUNCTION("""COMPUTED_VALUE"""),23.1)</f>
        <v>23.1</v>
      </c>
      <c r="H124" s="48">
        <f ca="1">IFERROR(__xludf.DUMMYFUNCTION("""COMPUTED_VALUE"""),25.6)</f>
        <v>25.6</v>
      </c>
      <c r="I124" s="48">
        <v>666</v>
      </c>
      <c r="J124" s="48">
        <v>0.7</v>
      </c>
      <c r="K124" s="48">
        <v>116</v>
      </c>
      <c r="L124" s="48">
        <v>0.75</v>
      </c>
      <c r="M124" s="48">
        <v>22.442699999999999</v>
      </c>
      <c r="N124" s="48">
        <v>0.02</v>
      </c>
      <c r="O124" s="48">
        <v>47.7</v>
      </c>
      <c r="P124" s="48">
        <v>0</v>
      </c>
      <c r="R124" s="48">
        <f ca="1">IFERROR(__xludf.DUMMYFUNCTION("""COMPUTED_VALUE"""),370)</f>
        <v>370</v>
      </c>
      <c r="S124" s="48">
        <f ca="1">IFERROR(__xludf.DUMMYFUNCTION("""COMPUTED_VALUE"""),341)</f>
        <v>341</v>
      </c>
      <c r="T124" s="48">
        <f ca="1">IFERROR(__xludf.DUMMYFUNCTION("""COMPUTED_VALUE"""),253)</f>
        <v>253</v>
      </c>
      <c r="V124" s="48">
        <f t="shared" ca="1" si="6"/>
        <v>355.5</v>
      </c>
      <c r="AD124" s="48">
        <v>6</v>
      </c>
      <c r="AF124" t="str">
        <f ca="1">IFERROR(__xludf.DUMMYFUNCTION("""COMPUTED_VALUE"""),"Private")</f>
        <v>Private</v>
      </c>
      <c r="AG124" t="str">
        <f ca="1">IFERROR(__xludf.DUMMYFUNCTION("""COMPUTED_VALUE"""),"No")</f>
        <v>No</v>
      </c>
      <c r="AH124" t="str">
        <f ca="1">IFERROR(__xludf.DUMMYFUNCTION("""COMPUTED_VALUE"""),"Yes")</f>
        <v>Yes</v>
      </c>
      <c r="AI124" t="str">
        <f ca="1">IFERROR(__xludf.DUMMYFUNCTION("""COMPUTED_VALUE"""),"Yes")</f>
        <v>Yes</v>
      </c>
      <c r="AJ124" t="str">
        <f ca="1">IFERROR(__xludf.DUMMYFUNCTION("""COMPUTED_VALUE"""),"Half")</f>
        <v>Half</v>
      </c>
      <c r="AK124">
        <v>0</v>
      </c>
      <c r="AL124"/>
      <c r="AM124" t="str">
        <f ca="1">IFERROR(__xludf.DUMMYFUNCTION("""COMPUTED_VALUE"""),"wood")</f>
        <v>wood</v>
      </c>
      <c r="AN124" t="str">
        <f ca="1">IFERROR(__xludf.DUMMYFUNCTION("""COMPUTED_VALUE"""),"brown")</f>
        <v>brown</v>
      </c>
      <c r="AO124" t="str">
        <f ca="1">IFERROR(__xludf.DUMMYFUNCTION("""COMPUTED_VALUE"""),"standing")</f>
        <v>standing</v>
      </c>
      <c r="AP124" t="str">
        <f ca="1">IFERROR(__xludf.DUMMYFUNCTION("""COMPUTED_VALUE"""),"NA")</f>
        <v>NA</v>
      </c>
      <c r="AQ124" t="str">
        <f ca="1">IFERROR(__xludf.DUMMYFUNCTION("""COMPUTED_VALUE"""),"Carpet")</f>
        <v>Carpet</v>
      </c>
      <c r="AR124" t="str">
        <f ca="1">IFERROR(__xludf.DUMMYFUNCTION("""COMPUTED_VALUE"""),"Grey")</f>
        <v>Grey</v>
      </c>
      <c r="AS124" t="str">
        <f ca="1">IFERROR(__xludf.DUMMYFUNCTION("""COMPUTED_VALUE"""),"White")</f>
        <v>White</v>
      </c>
      <c r="AT124" t="str">
        <f ca="1">IFERROR(__xludf.DUMMYFUNCTION("""COMPUTED_VALUE"""),"White")</f>
        <v>White</v>
      </c>
      <c r="AU124" t="str">
        <f ca="1">IFERROR(__xludf.DUMMYFUNCTION("""COMPUTED_VALUE"""),"NA")</f>
        <v>NA</v>
      </c>
      <c r="AV124" t="str">
        <f ca="1">IFERROR(__xludf.DUMMYFUNCTION("""COMPUTED_VALUE"""),"No")</f>
        <v>No</v>
      </c>
      <c r="AW124">
        <f ca="1">IFERROR(__xludf.DUMMYFUNCTION("""COMPUTED_VALUE"""),370)</f>
        <v>370</v>
      </c>
      <c r="AX124">
        <f ca="1">IFERROR(__xludf.DUMMYFUNCTION("""COMPUTED_VALUE"""),341)</f>
        <v>341</v>
      </c>
      <c r="AY124">
        <f ca="1">IFERROR(__xludf.DUMMYFUNCTION("""COMPUTED_VALUE"""),253)</f>
        <v>253</v>
      </c>
      <c r="AZ124" t="str">
        <f ca="1">IFERROR(__xludf.DUMMYFUNCTION("""COMPUTED_VALUE"""),"No")</f>
        <v>No</v>
      </c>
      <c r="BA124">
        <f ca="1">IFERROR(__xludf.DUMMYFUNCTION("""COMPUTED_VALUE"""),2.58)</f>
        <v>2.58</v>
      </c>
      <c r="BB124" t="str">
        <f ca="1">IFERROR(__xludf.DUMMYFUNCTION("""COMPUTED_VALUE"""),"NA")</f>
        <v>NA</v>
      </c>
      <c r="BC124" t="str">
        <f ca="1">IFERROR(__xludf.DUMMYFUNCTION("""COMPUTED_VALUE"""),"No")</f>
        <v>No</v>
      </c>
      <c r="BD124">
        <f ca="1">IFERROR(__xludf.DUMMYFUNCTION("""COMPUTED_VALUE"""),1.5)</f>
        <v>1.5</v>
      </c>
      <c r="BE124" t="str">
        <f ca="1">IFERROR(__xludf.DUMMYFUNCTION("""COMPUTED_VALUE"""),"W")</f>
        <v>W</v>
      </c>
      <c r="BF124" t="str">
        <f ca="1">IFERROR(__xludf.DUMMYFUNCTION("""COMPUTED_VALUE"""),"NA")</f>
        <v>NA</v>
      </c>
      <c r="BG124" t="str">
        <f ca="1">IFERROR(__xludf.DUMMYFUNCTION("""COMPUTED_VALUE"""),"NA")</f>
        <v>NA</v>
      </c>
      <c r="BH124">
        <f ca="1">IFERROR(__xludf.DUMMYFUNCTION("""COMPUTED_VALUE"""),1.52)</f>
        <v>1.52</v>
      </c>
      <c r="BI124">
        <f ca="1">IFERROR(__xludf.DUMMYFUNCTION("""COMPUTED_VALUE"""),0.76)</f>
        <v>0.76</v>
      </c>
      <c r="BJ124">
        <f ca="1">IFERROR(__xludf.DUMMYFUNCTION("""COMPUTED_VALUE"""),1.1)</f>
        <v>1.1000000000000001</v>
      </c>
      <c r="BK124" t="str">
        <f ca="1">IFERROR(__xludf.DUMMYFUNCTION("""COMPUTED_VALUE"""),"NA")</f>
        <v>NA</v>
      </c>
      <c r="BL124">
        <v>2</v>
      </c>
      <c r="BM124">
        <v>3</v>
      </c>
      <c r="BN124">
        <v>4</v>
      </c>
      <c r="BO124">
        <v>2</v>
      </c>
      <c r="BP124">
        <v>3</v>
      </c>
      <c r="BQ124">
        <v>5</v>
      </c>
      <c r="BR124">
        <v>6</v>
      </c>
      <c r="BS124">
        <v>2</v>
      </c>
      <c r="BT124">
        <v>2</v>
      </c>
      <c r="BU124">
        <v>4</v>
      </c>
      <c r="BV124">
        <v>3</v>
      </c>
      <c r="BW124">
        <v>5</v>
      </c>
      <c r="BX124">
        <v>3</v>
      </c>
      <c r="BY124">
        <v>3</v>
      </c>
      <c r="BZ124">
        <v>1</v>
      </c>
      <c r="CA124">
        <v>7</v>
      </c>
      <c r="CB124">
        <v>7</v>
      </c>
      <c r="CC124">
        <v>7</v>
      </c>
      <c r="CD124">
        <v>1</v>
      </c>
      <c r="CE124">
        <v>1</v>
      </c>
      <c r="CF124">
        <v>6</v>
      </c>
      <c r="CG124">
        <v>1</v>
      </c>
      <c r="CH124">
        <v>3</v>
      </c>
      <c r="CI124">
        <v>6</v>
      </c>
      <c r="CJ124">
        <v>6</v>
      </c>
      <c r="CK124">
        <v>4</v>
      </c>
      <c r="CL124">
        <v>6</v>
      </c>
      <c r="CM124">
        <v>1</v>
      </c>
      <c r="CN124" s="100" t="s">
        <v>223</v>
      </c>
      <c r="CO124">
        <v>1</v>
      </c>
      <c r="CP124">
        <v>6</v>
      </c>
      <c r="CQ124">
        <v>6</v>
      </c>
      <c r="CR124">
        <v>2</v>
      </c>
      <c r="CS124">
        <v>2</v>
      </c>
      <c r="CT124">
        <v>4</v>
      </c>
      <c r="CU124">
        <v>6</v>
      </c>
      <c r="CV124">
        <v>2</v>
      </c>
      <c r="CW124">
        <v>1</v>
      </c>
      <c r="CX124" s="100" t="s">
        <v>237</v>
      </c>
      <c r="CY124">
        <v>4</v>
      </c>
      <c r="CZ124">
        <v>1</v>
      </c>
      <c r="DA124">
        <v>3</v>
      </c>
      <c r="DB124">
        <v>1</v>
      </c>
      <c r="DC124">
        <v>4</v>
      </c>
      <c r="DD124">
        <v>3</v>
      </c>
      <c r="DE124">
        <v>4</v>
      </c>
      <c r="DF124">
        <v>3</v>
      </c>
      <c r="DG124">
        <v>5</v>
      </c>
      <c r="DH124" s="100" t="s">
        <v>223</v>
      </c>
      <c r="DI124" s="100" t="s">
        <v>223</v>
      </c>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row>
    <row r="125" spans="1:145" s="48" customFormat="1" ht="14">
      <c r="A125" s="50">
        <v>43864.474444444444</v>
      </c>
      <c r="B125" s="48" t="str">
        <f ca="1">IFERROR(__xludf.DUMMYFUNCTION("""COMPUTED_VALUE"""),"E00160")</f>
        <v>E00160</v>
      </c>
      <c r="C125" s="86">
        <f t="shared" si="4"/>
        <v>124</v>
      </c>
      <c r="D125" s="48" t="s">
        <v>139</v>
      </c>
      <c r="E125" s="48" t="s">
        <v>66</v>
      </c>
      <c r="F125" s="48">
        <v>11</v>
      </c>
      <c r="G125" s="48">
        <f ca="1">IFERROR(__xludf.DUMMYFUNCTION("""COMPUTED_VALUE"""),23)</f>
        <v>23</v>
      </c>
      <c r="H125" s="48">
        <f ca="1">IFERROR(__xludf.DUMMYFUNCTION("""COMPUTED_VALUE"""),25.7)</f>
        <v>25.7</v>
      </c>
      <c r="I125" s="48">
        <v>712</v>
      </c>
      <c r="J125" s="48">
        <v>0.7</v>
      </c>
      <c r="K125" s="48">
        <v>115</v>
      </c>
      <c r="L125" s="48">
        <v>0.55000000000000004</v>
      </c>
      <c r="M125" s="48">
        <v>22.786000000000001</v>
      </c>
      <c r="N125" s="48">
        <v>0.02</v>
      </c>
      <c r="O125" s="48">
        <v>49.4</v>
      </c>
      <c r="P125" s="48">
        <v>0</v>
      </c>
      <c r="R125" s="48">
        <f ca="1">IFERROR(__xludf.DUMMYFUNCTION("""COMPUTED_VALUE"""),312)</f>
        <v>312</v>
      </c>
      <c r="S125" s="48">
        <f ca="1">IFERROR(__xludf.DUMMYFUNCTION("""COMPUTED_VALUE"""),409)</f>
        <v>409</v>
      </c>
      <c r="T125" s="48">
        <f ca="1">IFERROR(__xludf.DUMMYFUNCTION("""COMPUTED_VALUE"""),105)</f>
        <v>105</v>
      </c>
      <c r="V125" s="48">
        <f t="shared" ca="1" si="6"/>
        <v>360.5</v>
      </c>
      <c r="AD125" s="48">
        <v>6</v>
      </c>
      <c r="AF125" t="str">
        <f ca="1">IFERROR(__xludf.DUMMYFUNCTION("""COMPUTED_VALUE"""),"Semi private (2-5 desks)")</f>
        <v>Semi private (2-5 desks)</v>
      </c>
      <c r="AG125" t="str">
        <f ca="1">IFERROR(__xludf.DUMMYFUNCTION("""COMPUTED_VALUE"""),"No")</f>
        <v>No</v>
      </c>
      <c r="AH125" t="str">
        <f ca="1">IFERROR(__xludf.DUMMYFUNCTION("""COMPUTED_VALUE"""),"Yes")</f>
        <v>Yes</v>
      </c>
      <c r="AI125" t="str">
        <f ca="1">IFERROR(__xludf.DUMMYFUNCTION("""COMPUTED_VALUE"""),"Yes")</f>
        <v>Yes</v>
      </c>
      <c r="AJ125" t="str">
        <f ca="1">IFERROR(__xludf.DUMMYFUNCTION("""COMPUTED_VALUE"""),"Yes")</f>
        <v>Yes</v>
      </c>
      <c r="AK125">
        <v>0</v>
      </c>
      <c r="AL125"/>
      <c r="AM125" t="str">
        <f ca="1">IFERROR(__xludf.DUMMYFUNCTION("""COMPUTED_VALUE"""),"Laminate")</f>
        <v>Laminate</v>
      </c>
      <c r="AN125" t="str">
        <f ca="1">IFERROR(__xludf.DUMMYFUNCTION("""COMPUTED_VALUE"""),"White")</f>
        <v>White</v>
      </c>
      <c r="AO125" t="str">
        <f ca="1">IFERROR(__xludf.DUMMYFUNCTION("""COMPUTED_VALUE"""),"Office chair")</f>
        <v>Office chair</v>
      </c>
      <c r="AP125" t="str">
        <f ca="1">IFERROR(__xludf.DUMMYFUNCTION("""COMPUTED_VALUE"""),"Cloth")</f>
        <v>Cloth</v>
      </c>
      <c r="AQ125" t="str">
        <f ca="1">IFERROR(__xludf.DUMMYFUNCTION("""COMPUTED_VALUE"""),"Carpet")</f>
        <v>Carpet</v>
      </c>
      <c r="AR125" t="str">
        <f ca="1">IFERROR(__xludf.DUMMYFUNCTION("""COMPUTED_VALUE"""),"Grey")</f>
        <v>Grey</v>
      </c>
      <c r="AS125" t="str">
        <f ca="1">IFERROR(__xludf.DUMMYFUNCTION("""COMPUTED_VALUE"""),"White")</f>
        <v>White</v>
      </c>
      <c r="AT125" t="str">
        <f ca="1">IFERROR(__xludf.DUMMYFUNCTION("""COMPUTED_VALUE"""),"White")</f>
        <v>White</v>
      </c>
      <c r="AU125" t="str">
        <f ca="1">IFERROR(__xludf.DUMMYFUNCTION("""COMPUTED_VALUE"""),"NA")</f>
        <v>NA</v>
      </c>
      <c r="AV125" t="str">
        <f ca="1">IFERROR(__xludf.DUMMYFUNCTION("""COMPUTED_VALUE"""),"No")</f>
        <v>No</v>
      </c>
      <c r="AW125">
        <f ca="1">IFERROR(__xludf.DUMMYFUNCTION("""COMPUTED_VALUE"""),312)</f>
        <v>312</v>
      </c>
      <c r="AX125">
        <f ca="1">IFERROR(__xludf.DUMMYFUNCTION("""COMPUTED_VALUE"""),409)</f>
        <v>409</v>
      </c>
      <c r="AY125">
        <f ca="1">IFERROR(__xludf.DUMMYFUNCTION("""COMPUTED_VALUE"""),105)</f>
        <v>105</v>
      </c>
      <c r="AZ125" t="str">
        <f ca="1">IFERROR(__xludf.DUMMYFUNCTION("""COMPUTED_VALUE"""),"No")</f>
        <v>No</v>
      </c>
      <c r="BA125">
        <f ca="1">IFERROR(__xludf.DUMMYFUNCTION("""COMPUTED_VALUE"""),2.58)</f>
        <v>2.58</v>
      </c>
      <c r="BB125">
        <f ca="1">IFERROR(__xludf.DUMMYFUNCTION("""COMPUTED_VALUE"""),2.9)</f>
        <v>2.9</v>
      </c>
      <c r="BC125" t="str">
        <f ca="1">IFERROR(__xludf.DUMMYFUNCTION("""COMPUTED_VALUE"""),"No")</f>
        <v>No</v>
      </c>
      <c r="BD125">
        <f ca="1">IFERROR(__xludf.DUMMYFUNCTION("""COMPUTED_VALUE"""),1)</f>
        <v>1</v>
      </c>
      <c r="BE125" t="str">
        <f ca="1">IFERROR(__xludf.DUMMYFUNCTION("""COMPUTED_VALUE"""),"NW")</f>
        <v>NW</v>
      </c>
      <c r="BF125" t="str">
        <f ca="1">IFERROR(__xludf.DUMMYFUNCTION("""COMPUTED_VALUE"""),"NA")</f>
        <v>NA</v>
      </c>
      <c r="BG125" t="str">
        <f ca="1">IFERROR(__xludf.DUMMYFUNCTION("""COMPUTED_VALUE"""),"NA")</f>
        <v>NA</v>
      </c>
      <c r="BH125">
        <f ca="1">IFERROR(__xludf.DUMMYFUNCTION("""COMPUTED_VALUE"""),1.52)</f>
        <v>1.52</v>
      </c>
      <c r="BI125">
        <f ca="1">IFERROR(__xludf.DUMMYFUNCTION("""COMPUTED_VALUE"""),0.7)</f>
        <v>0.7</v>
      </c>
      <c r="BJ125">
        <f ca="1">IFERROR(__xludf.DUMMYFUNCTION("""COMPUTED_VALUE"""),0.7)</f>
        <v>0.7</v>
      </c>
      <c r="BK125" t="str">
        <f ca="1">IFERROR(__xludf.DUMMYFUNCTION("""COMPUTED_VALUE"""),"NA")</f>
        <v>NA</v>
      </c>
      <c r="BL125">
        <v>1</v>
      </c>
      <c r="BM125">
        <v>2</v>
      </c>
      <c r="BN125">
        <v>1</v>
      </c>
      <c r="BO125">
        <v>3</v>
      </c>
      <c r="BP125">
        <v>2</v>
      </c>
      <c r="BQ125">
        <v>4</v>
      </c>
      <c r="BR125">
        <v>6</v>
      </c>
      <c r="BS125">
        <v>2</v>
      </c>
      <c r="BT125">
        <v>3</v>
      </c>
      <c r="BU125" s="100" t="s">
        <v>223</v>
      </c>
      <c r="BV125" s="100" t="s">
        <v>223</v>
      </c>
      <c r="BW125">
        <v>4</v>
      </c>
      <c r="BX125">
        <v>4</v>
      </c>
      <c r="BY125" s="100" t="s">
        <v>223</v>
      </c>
      <c r="BZ125">
        <v>2</v>
      </c>
      <c r="CA125">
        <v>5</v>
      </c>
      <c r="CB125">
        <v>2</v>
      </c>
      <c r="CC125">
        <v>4</v>
      </c>
      <c r="CD125">
        <v>1</v>
      </c>
      <c r="CE125">
        <v>1</v>
      </c>
      <c r="CF125">
        <v>6</v>
      </c>
      <c r="CG125">
        <v>1</v>
      </c>
      <c r="CH125">
        <v>3</v>
      </c>
      <c r="CI125">
        <v>5</v>
      </c>
      <c r="CJ125">
        <v>2</v>
      </c>
      <c r="CK125">
        <v>5</v>
      </c>
      <c r="CL125">
        <v>2</v>
      </c>
      <c r="CM125">
        <v>1</v>
      </c>
      <c r="CN125" s="100" t="s">
        <v>223</v>
      </c>
      <c r="CO125">
        <v>2</v>
      </c>
      <c r="CP125">
        <v>6</v>
      </c>
      <c r="CQ125">
        <v>6</v>
      </c>
      <c r="CR125">
        <v>1</v>
      </c>
      <c r="CS125">
        <v>1</v>
      </c>
      <c r="CT125">
        <v>4</v>
      </c>
      <c r="CU125">
        <v>6</v>
      </c>
      <c r="CV125">
        <v>2</v>
      </c>
      <c r="CW125">
        <v>1</v>
      </c>
      <c r="CX125" s="100" t="s">
        <v>15</v>
      </c>
      <c r="CY125">
        <v>6</v>
      </c>
      <c r="CZ125">
        <v>1</v>
      </c>
      <c r="DA125">
        <v>3</v>
      </c>
      <c r="DB125">
        <v>1</v>
      </c>
      <c r="DC125">
        <v>4</v>
      </c>
      <c r="DD125">
        <v>3</v>
      </c>
      <c r="DE125">
        <v>4</v>
      </c>
      <c r="DF125">
        <v>5</v>
      </c>
      <c r="DG125">
        <v>2</v>
      </c>
      <c r="DH125" s="100" t="s">
        <v>560</v>
      </c>
      <c r="DI125" s="100" t="s">
        <v>223</v>
      </c>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row>
    <row r="126" spans="1:145" s="48" customFormat="1" ht="14">
      <c r="A126" s="50">
        <v>43868.451805555553</v>
      </c>
      <c r="B126" s="48" t="str">
        <f ca="1">IFERROR(__xludf.DUMMYFUNCTION("""COMPUTED_VALUE"""),"E00250")</f>
        <v>E00250</v>
      </c>
      <c r="C126" s="86">
        <f t="shared" si="4"/>
        <v>125</v>
      </c>
      <c r="D126" s="48" t="s">
        <v>139</v>
      </c>
      <c r="E126" s="48" t="s">
        <v>66</v>
      </c>
      <c r="F126" s="48">
        <v>11</v>
      </c>
      <c r="G126" s="48">
        <f ca="1">IFERROR(__xludf.DUMMYFUNCTION("""COMPUTED_VALUE"""),20.6)</f>
        <v>20.6</v>
      </c>
      <c r="H126" s="48">
        <f ca="1">IFERROR(__xludf.DUMMYFUNCTION("""COMPUTED_VALUE"""),37)</f>
        <v>37</v>
      </c>
      <c r="I126" s="48">
        <v>642</v>
      </c>
      <c r="J126" s="48">
        <v>1.1000000000000001</v>
      </c>
      <c r="K126" s="48">
        <v>146</v>
      </c>
      <c r="L126" s="48">
        <v>0.82</v>
      </c>
      <c r="M126" s="48">
        <v>19.434200000000001</v>
      </c>
      <c r="N126" s="48">
        <v>7.0000000000000007E-2</v>
      </c>
      <c r="O126" s="48">
        <v>39</v>
      </c>
      <c r="P126" s="48">
        <v>0</v>
      </c>
      <c r="R126" s="48">
        <f ca="1">IFERROR(__xludf.DUMMYFUNCTION("""COMPUTED_VALUE"""),563)</f>
        <v>563</v>
      </c>
      <c r="S126" s="48">
        <f ca="1">IFERROR(__xludf.DUMMYFUNCTION("""COMPUTED_VALUE"""),675)</f>
        <v>675</v>
      </c>
      <c r="T126" s="48">
        <f ca="1">IFERROR(__xludf.DUMMYFUNCTION("""COMPUTED_VALUE"""),317)</f>
        <v>317</v>
      </c>
      <c r="V126" s="48">
        <f t="shared" ca="1" si="6"/>
        <v>619</v>
      </c>
      <c r="AD126" s="48">
        <v>6</v>
      </c>
      <c r="AF126" t="str">
        <f ca="1">IFERROR(__xludf.DUMMYFUNCTION("""COMPUTED_VALUE"""),"Private")</f>
        <v>Private</v>
      </c>
      <c r="AG126" t="str">
        <f ca="1">IFERROR(__xludf.DUMMYFUNCTION("""COMPUTED_VALUE"""),"Yes")</f>
        <v>Yes</v>
      </c>
      <c r="AH126" t="str">
        <f ca="1">IFERROR(__xludf.DUMMYFUNCTION("""COMPUTED_VALUE"""),"Yes")</f>
        <v>Yes</v>
      </c>
      <c r="AI126" t="str">
        <f ca="1">IFERROR(__xludf.DUMMYFUNCTION("""COMPUTED_VALUE"""),"Yes")</f>
        <v>Yes</v>
      </c>
      <c r="AJ126" t="str">
        <f ca="1">IFERROR(__xludf.DUMMYFUNCTION("""COMPUTED_VALUE"""),"Half")</f>
        <v>Half</v>
      </c>
      <c r="AK126">
        <v>0</v>
      </c>
      <c r="AL126"/>
      <c r="AM126" t="str">
        <f ca="1">IFERROR(__xludf.DUMMYFUNCTION("""COMPUTED_VALUE"""),"wood")</f>
        <v>wood</v>
      </c>
      <c r="AN126" t="str">
        <f ca="1">IFERROR(__xludf.DUMMYFUNCTION("""COMPUTED_VALUE"""),"brown")</f>
        <v>brown</v>
      </c>
      <c r="AO126" t="str">
        <f ca="1">IFERROR(__xludf.DUMMYFUNCTION("""COMPUTED_VALUE"""),"Office chair")</f>
        <v>Office chair</v>
      </c>
      <c r="AP126" t="str">
        <f ca="1">IFERROR(__xludf.DUMMYFUNCTION("""COMPUTED_VALUE"""),"cloth")</f>
        <v>cloth</v>
      </c>
      <c r="AQ126" t="str">
        <f ca="1">IFERROR(__xludf.DUMMYFUNCTION("""COMPUTED_VALUE"""),"Carpet")</f>
        <v>Carpet</v>
      </c>
      <c r="AR126" t="str">
        <f ca="1">IFERROR(__xludf.DUMMYFUNCTION("""COMPUTED_VALUE"""),"blue")</f>
        <v>blue</v>
      </c>
      <c r="AS126" t="str">
        <f ca="1">IFERROR(__xludf.DUMMYFUNCTION("""COMPUTED_VALUE"""),"white")</f>
        <v>white</v>
      </c>
      <c r="AT126" t="str">
        <f ca="1">IFERROR(__xludf.DUMMYFUNCTION("""COMPUTED_VALUE"""),"white")</f>
        <v>white</v>
      </c>
      <c r="AU126" t="str">
        <f ca="1">IFERROR(__xludf.DUMMYFUNCTION("""COMPUTED_VALUE"""),"NA")</f>
        <v>NA</v>
      </c>
      <c r="AV126" t="str">
        <f ca="1">IFERROR(__xludf.DUMMYFUNCTION("""COMPUTED_VALUE"""),"No")</f>
        <v>No</v>
      </c>
      <c r="AW126">
        <f ca="1">IFERROR(__xludf.DUMMYFUNCTION("""COMPUTED_VALUE"""),563)</f>
        <v>563</v>
      </c>
      <c r="AX126">
        <f ca="1">IFERROR(__xludf.DUMMYFUNCTION("""COMPUTED_VALUE"""),675)</f>
        <v>675</v>
      </c>
      <c r="AY126">
        <f ca="1">IFERROR(__xludf.DUMMYFUNCTION("""COMPUTED_VALUE"""),317)</f>
        <v>317</v>
      </c>
      <c r="AZ126" t="str">
        <f ca="1">IFERROR(__xludf.DUMMYFUNCTION("""COMPUTED_VALUE"""),"No")</f>
        <v>No</v>
      </c>
      <c r="BA126">
        <f ca="1">IFERROR(__xludf.DUMMYFUNCTION("""COMPUTED_VALUE"""),2.44)</f>
        <v>2.44</v>
      </c>
      <c r="BB126">
        <f ca="1">IFERROR(__xludf.DUMMYFUNCTION("""COMPUTED_VALUE"""),0.3)</f>
        <v>0.3</v>
      </c>
      <c r="BC126" t="str">
        <f ca="1">IFERROR(__xludf.DUMMYFUNCTION("""COMPUTED_VALUE"""),"No")</f>
        <v>No</v>
      </c>
      <c r="BD126">
        <f ca="1">IFERROR(__xludf.DUMMYFUNCTION("""COMPUTED_VALUE"""),1)</f>
        <v>1</v>
      </c>
      <c r="BE126" t="str">
        <f ca="1">IFERROR(__xludf.DUMMYFUNCTION("""COMPUTED_VALUE"""),"SE")</f>
        <v>SE</v>
      </c>
      <c r="BF126" t="str">
        <f ca="1">IFERROR(__xludf.DUMMYFUNCTION("""COMPUTED_VALUE"""),"NA")</f>
        <v>NA</v>
      </c>
      <c r="BG126" t="str">
        <f ca="1">IFERROR(__xludf.DUMMYFUNCTION("""COMPUTED_VALUE"""),"NA")</f>
        <v>NA</v>
      </c>
      <c r="BH126">
        <f ca="1">IFERROR(__xludf.DUMMYFUNCTION("""COMPUTED_VALUE"""),1.52)</f>
        <v>1.52</v>
      </c>
      <c r="BI126">
        <f ca="1">IFERROR(__xludf.DUMMYFUNCTION("""COMPUTED_VALUE"""),0.76)</f>
        <v>0.76</v>
      </c>
      <c r="BJ126">
        <f ca="1">IFERROR(__xludf.DUMMYFUNCTION("""COMPUTED_VALUE"""),0.8)</f>
        <v>0.8</v>
      </c>
      <c r="BK126" t="str">
        <f ca="1">IFERROR(__xludf.DUMMYFUNCTION("""COMPUTED_VALUE"""),"NA")</f>
        <v>NA</v>
      </c>
      <c r="BL126">
        <v>2</v>
      </c>
      <c r="BM126">
        <v>4</v>
      </c>
      <c r="BN126">
        <v>3</v>
      </c>
      <c r="BO126">
        <v>2</v>
      </c>
      <c r="BP126">
        <v>2</v>
      </c>
      <c r="BQ126">
        <v>1</v>
      </c>
      <c r="BR126">
        <v>5</v>
      </c>
      <c r="BS126">
        <v>2</v>
      </c>
      <c r="BT126">
        <v>1</v>
      </c>
      <c r="BU126">
        <v>3</v>
      </c>
      <c r="BV126">
        <v>5</v>
      </c>
      <c r="BW126">
        <v>5</v>
      </c>
      <c r="BX126">
        <v>3</v>
      </c>
      <c r="BY126">
        <v>1</v>
      </c>
      <c r="BZ126">
        <v>3</v>
      </c>
      <c r="CA126" s="100" t="s">
        <v>223</v>
      </c>
      <c r="CB126" s="100" t="s">
        <v>223</v>
      </c>
      <c r="CC126" s="100" t="s">
        <v>223</v>
      </c>
      <c r="CD126" s="100" t="s">
        <v>223</v>
      </c>
      <c r="CE126" s="100" t="s">
        <v>223</v>
      </c>
      <c r="CF126" s="100" t="s">
        <v>223</v>
      </c>
      <c r="CG126" s="100" t="s">
        <v>223</v>
      </c>
      <c r="CH126" s="100" t="s">
        <v>223</v>
      </c>
      <c r="CI126" s="100" t="s">
        <v>223</v>
      </c>
      <c r="CJ126" s="100" t="s">
        <v>223</v>
      </c>
      <c r="CK126" s="100" t="s">
        <v>223</v>
      </c>
      <c r="CL126" s="100" t="s">
        <v>223</v>
      </c>
      <c r="CM126" s="100" t="s">
        <v>223</v>
      </c>
      <c r="CN126" s="100" t="s">
        <v>223</v>
      </c>
      <c r="CO126" s="100" t="s">
        <v>223</v>
      </c>
      <c r="CP126" s="100" t="s">
        <v>223</v>
      </c>
      <c r="CQ126" s="100" t="s">
        <v>223</v>
      </c>
      <c r="CR126" s="100" t="s">
        <v>223</v>
      </c>
      <c r="CS126" s="100" t="s">
        <v>223</v>
      </c>
      <c r="CT126" s="100" t="s">
        <v>223</v>
      </c>
      <c r="CU126" s="100" t="s">
        <v>223</v>
      </c>
      <c r="CV126" s="100" t="s">
        <v>223</v>
      </c>
      <c r="CW126" s="100" t="s">
        <v>223</v>
      </c>
      <c r="CX126" s="100" t="s">
        <v>223</v>
      </c>
      <c r="CY126" s="100" t="s">
        <v>223</v>
      </c>
      <c r="CZ126" s="100" t="s">
        <v>223</v>
      </c>
      <c r="DA126" s="100" t="s">
        <v>223</v>
      </c>
      <c r="DB126" s="100" t="s">
        <v>223</v>
      </c>
      <c r="DC126" s="100" t="s">
        <v>223</v>
      </c>
      <c r="DD126" s="100" t="s">
        <v>223</v>
      </c>
      <c r="DE126" s="100" t="s">
        <v>223</v>
      </c>
      <c r="DF126" s="100" t="s">
        <v>223</v>
      </c>
      <c r="DG126" s="100" t="s">
        <v>223</v>
      </c>
      <c r="DH126" s="100" t="s">
        <v>223</v>
      </c>
      <c r="DI126" s="100" t="s">
        <v>223</v>
      </c>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row>
    <row r="127" spans="1:145" s="48" customFormat="1" ht="14">
      <c r="A127" s="50">
        <v>43868.459606481483</v>
      </c>
      <c r="B127" s="48" t="str">
        <f ca="1">IFERROR(__xludf.DUMMYFUNCTION("""COMPUTED_VALUE"""),"E00205")</f>
        <v>E00205</v>
      </c>
      <c r="C127" s="86">
        <f t="shared" si="4"/>
        <v>126</v>
      </c>
      <c r="D127" s="48" t="s">
        <v>139</v>
      </c>
      <c r="E127" s="48" t="s">
        <v>66</v>
      </c>
      <c r="F127" s="48">
        <v>11</v>
      </c>
      <c r="G127" s="48">
        <f ca="1">IFERROR(__xludf.DUMMYFUNCTION("""COMPUTED_VALUE"""),21.1)</f>
        <v>21.1</v>
      </c>
      <c r="H127" s="48">
        <f ca="1">IFERROR(__xludf.DUMMYFUNCTION("""COMPUTED_VALUE"""),36.9)</f>
        <v>36.9</v>
      </c>
      <c r="I127" s="48">
        <v>663</v>
      </c>
      <c r="J127" s="48">
        <v>1</v>
      </c>
      <c r="K127" s="48">
        <v>146</v>
      </c>
      <c r="L127" s="48">
        <v>0.35000000000000003</v>
      </c>
      <c r="M127" s="48">
        <v>21.784800000000001</v>
      </c>
      <c r="N127" s="48">
        <v>0.03</v>
      </c>
      <c r="O127" s="48">
        <v>46</v>
      </c>
      <c r="P127" s="48">
        <v>0</v>
      </c>
      <c r="R127" s="48">
        <f ca="1">IFERROR(__xludf.DUMMYFUNCTION("""COMPUTED_VALUE"""),985)</f>
        <v>985</v>
      </c>
      <c r="S127" s="48">
        <f ca="1">IFERROR(__xludf.DUMMYFUNCTION("""COMPUTED_VALUE"""),796)</f>
        <v>796</v>
      </c>
      <c r="T127" s="48">
        <f ca="1">IFERROR(__xludf.DUMMYFUNCTION("""COMPUTED_VALUE"""),330)</f>
        <v>330</v>
      </c>
      <c r="V127" s="48">
        <f t="shared" ca="1" si="6"/>
        <v>890.5</v>
      </c>
      <c r="AD127" s="48">
        <v>3</v>
      </c>
      <c r="AF127" t="str">
        <f ca="1">IFERROR(__xludf.DUMMYFUNCTION("""COMPUTED_VALUE"""),"Private")</f>
        <v>Private</v>
      </c>
      <c r="AG127" t="str">
        <f ca="1">IFERROR(__xludf.DUMMYFUNCTION("""COMPUTED_VALUE"""),"Yes")</f>
        <v>Yes</v>
      </c>
      <c r="AH127" t="str">
        <f ca="1">IFERROR(__xludf.DUMMYFUNCTION("""COMPUTED_VALUE"""),"Yes")</f>
        <v>Yes</v>
      </c>
      <c r="AI127" t="str">
        <f ca="1">IFERROR(__xludf.DUMMYFUNCTION("""COMPUTED_VALUE"""),"Yes")</f>
        <v>Yes</v>
      </c>
      <c r="AJ127" t="str">
        <f ca="1">IFERROR(__xludf.DUMMYFUNCTION("""COMPUTED_VALUE"""),"No")</f>
        <v>No</v>
      </c>
      <c r="AK127">
        <v>0</v>
      </c>
      <c r="AL127"/>
      <c r="AM127" t="str">
        <f ca="1">IFERROR(__xludf.DUMMYFUNCTION("""COMPUTED_VALUE"""),"WOOD")</f>
        <v>WOOD</v>
      </c>
      <c r="AN127" t="str">
        <f ca="1">IFERROR(__xludf.DUMMYFUNCTION("""COMPUTED_VALUE"""),"BROWN")</f>
        <v>BROWN</v>
      </c>
      <c r="AO127" t="str">
        <f ca="1">IFERROR(__xludf.DUMMYFUNCTION("""COMPUTED_VALUE"""),"Office chair")</f>
        <v>Office chair</v>
      </c>
      <c r="AP127" t="str">
        <f ca="1">IFERROR(__xludf.DUMMYFUNCTION("""COMPUTED_VALUE"""),"CLOTH")</f>
        <v>CLOTH</v>
      </c>
      <c r="AQ127" t="str">
        <f ca="1">IFERROR(__xludf.DUMMYFUNCTION("""COMPUTED_VALUE"""),"Carpet")</f>
        <v>Carpet</v>
      </c>
      <c r="AR127" t="str">
        <f ca="1">IFERROR(__xludf.DUMMYFUNCTION("""COMPUTED_VALUE"""),"BLUE")</f>
        <v>BLUE</v>
      </c>
      <c r="AS127" t="str">
        <f ca="1">IFERROR(__xludf.DUMMYFUNCTION("""COMPUTED_VALUE"""),"WHITE")</f>
        <v>WHITE</v>
      </c>
      <c r="AT127" t="str">
        <f ca="1">IFERROR(__xludf.DUMMYFUNCTION("""COMPUTED_VALUE"""),"WHITE")</f>
        <v>WHITE</v>
      </c>
      <c r="AU127" t="str">
        <f ca="1">IFERROR(__xludf.DUMMYFUNCTION("""COMPUTED_VALUE"""),"NA")</f>
        <v>NA</v>
      </c>
      <c r="AV127" t="str">
        <f ca="1">IFERROR(__xludf.DUMMYFUNCTION("""COMPUTED_VALUE"""),"No")</f>
        <v>No</v>
      </c>
      <c r="AW127">
        <f ca="1">IFERROR(__xludf.DUMMYFUNCTION("""COMPUTED_VALUE"""),985)</f>
        <v>985</v>
      </c>
      <c r="AX127">
        <f ca="1">IFERROR(__xludf.DUMMYFUNCTION("""COMPUTED_VALUE"""),796)</f>
        <v>796</v>
      </c>
      <c r="AY127">
        <f ca="1">IFERROR(__xludf.DUMMYFUNCTION("""COMPUTED_VALUE"""),330)</f>
        <v>330</v>
      </c>
      <c r="AZ127" t="str">
        <f ca="1">IFERROR(__xludf.DUMMYFUNCTION("""COMPUTED_VALUE"""),"No")</f>
        <v>No</v>
      </c>
      <c r="BA127">
        <f ca="1">IFERROR(__xludf.DUMMYFUNCTION("""COMPUTED_VALUE"""),2.44)</f>
        <v>2.44</v>
      </c>
      <c r="BB127">
        <f ca="1">IFERROR(__xludf.DUMMYFUNCTION("""COMPUTED_VALUE"""),2.7)</f>
        <v>2.7</v>
      </c>
      <c r="BC127" t="str">
        <f ca="1">IFERROR(__xludf.DUMMYFUNCTION("""COMPUTED_VALUE"""),"No")</f>
        <v>No</v>
      </c>
      <c r="BD127">
        <f ca="1">IFERROR(__xludf.DUMMYFUNCTION("""COMPUTED_VALUE"""),0.5)</f>
        <v>0.5</v>
      </c>
      <c r="BE127" t="str">
        <f ca="1">IFERROR(__xludf.DUMMYFUNCTION("""COMPUTED_VALUE"""),"NW")</f>
        <v>NW</v>
      </c>
      <c r="BF127" t="str">
        <f ca="1">IFERROR(__xludf.DUMMYFUNCTION("""COMPUTED_VALUE"""),"na")</f>
        <v>na</v>
      </c>
      <c r="BG127" t="str">
        <f ca="1">IFERROR(__xludf.DUMMYFUNCTION("""COMPUTED_VALUE"""),"na")</f>
        <v>na</v>
      </c>
      <c r="BH127">
        <f ca="1">IFERROR(__xludf.DUMMYFUNCTION("""COMPUTED_VALUE"""),1.52)</f>
        <v>1.52</v>
      </c>
      <c r="BI127">
        <f ca="1">IFERROR(__xludf.DUMMYFUNCTION("""COMPUTED_VALUE"""),0.76)</f>
        <v>0.76</v>
      </c>
      <c r="BJ127">
        <f ca="1">IFERROR(__xludf.DUMMYFUNCTION("""COMPUTED_VALUE"""),0.72)</f>
        <v>0.72</v>
      </c>
      <c r="BK127" t="str">
        <f ca="1">IFERROR(__xludf.DUMMYFUNCTION("""COMPUTED_VALUE"""),"NA")</f>
        <v>NA</v>
      </c>
      <c r="BL127">
        <v>2</v>
      </c>
      <c r="BM127">
        <v>2</v>
      </c>
      <c r="BN127">
        <v>4</v>
      </c>
      <c r="BO127">
        <v>3</v>
      </c>
      <c r="BP127">
        <v>2</v>
      </c>
      <c r="BQ127">
        <v>3</v>
      </c>
      <c r="BR127">
        <v>6</v>
      </c>
      <c r="BS127">
        <v>2</v>
      </c>
      <c r="BT127">
        <v>2</v>
      </c>
      <c r="BU127">
        <v>6</v>
      </c>
      <c r="BV127">
        <v>5</v>
      </c>
      <c r="BW127">
        <v>6</v>
      </c>
      <c r="BX127">
        <v>4</v>
      </c>
      <c r="BY127">
        <v>3</v>
      </c>
      <c r="BZ127">
        <v>2</v>
      </c>
      <c r="CA127">
        <v>6</v>
      </c>
      <c r="CB127">
        <v>6</v>
      </c>
      <c r="CC127">
        <v>5</v>
      </c>
      <c r="CD127">
        <v>1</v>
      </c>
      <c r="CE127">
        <v>1</v>
      </c>
      <c r="CF127">
        <v>6</v>
      </c>
      <c r="CG127">
        <v>1</v>
      </c>
      <c r="CH127">
        <v>3</v>
      </c>
      <c r="CI127">
        <v>6</v>
      </c>
      <c r="CJ127">
        <v>6</v>
      </c>
      <c r="CK127">
        <v>6</v>
      </c>
      <c r="CL127">
        <v>6</v>
      </c>
      <c r="CM127">
        <v>1</v>
      </c>
      <c r="CN127" s="100" t="s">
        <v>223</v>
      </c>
      <c r="CO127">
        <v>2</v>
      </c>
      <c r="CP127">
        <v>4</v>
      </c>
      <c r="CQ127">
        <v>3</v>
      </c>
      <c r="CR127">
        <v>2</v>
      </c>
      <c r="CS127">
        <v>2</v>
      </c>
      <c r="CT127">
        <v>3</v>
      </c>
      <c r="CU127">
        <v>6</v>
      </c>
      <c r="CV127">
        <v>2</v>
      </c>
      <c r="CW127">
        <v>2</v>
      </c>
      <c r="CX127" s="100" t="s">
        <v>15</v>
      </c>
      <c r="CY127">
        <v>6</v>
      </c>
      <c r="CZ127">
        <v>1</v>
      </c>
      <c r="DA127">
        <v>3</v>
      </c>
      <c r="DB127">
        <v>2</v>
      </c>
      <c r="DC127">
        <v>6</v>
      </c>
      <c r="DD127">
        <v>2</v>
      </c>
      <c r="DE127">
        <v>6</v>
      </c>
      <c r="DF127">
        <v>6</v>
      </c>
      <c r="DG127">
        <v>5</v>
      </c>
      <c r="DH127" s="100" t="s">
        <v>561</v>
      </c>
      <c r="DI127" s="100" t="s">
        <v>223</v>
      </c>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row>
    <row r="128" spans="1:145" s="48" customFormat="1" ht="14">
      <c r="A128" s="50">
        <v>43868.467592592591</v>
      </c>
      <c r="B128" s="48" t="str">
        <f ca="1">IFERROR(__xludf.DUMMYFUNCTION("""COMPUTED_VALUE"""),"E00130")</f>
        <v>E00130</v>
      </c>
      <c r="C128" s="86">
        <f t="shared" si="4"/>
        <v>127</v>
      </c>
      <c r="D128" s="48" t="s">
        <v>139</v>
      </c>
      <c r="E128" s="48" t="s">
        <v>66</v>
      </c>
      <c r="F128" s="48">
        <v>11</v>
      </c>
      <c r="G128" s="48">
        <f ca="1">IFERROR(__xludf.DUMMYFUNCTION("""COMPUTED_VALUE"""),22.7)</f>
        <v>22.7</v>
      </c>
      <c r="H128" s="48">
        <f ca="1">IFERROR(__xludf.DUMMYFUNCTION("""COMPUTED_VALUE"""),36.5)</f>
        <v>36.5</v>
      </c>
      <c r="I128" s="48">
        <v>677</v>
      </c>
      <c r="J128" s="48">
        <v>1.1000000000000001</v>
      </c>
      <c r="K128" s="48">
        <v>146</v>
      </c>
      <c r="L128" s="48">
        <v>0.57000000000000006</v>
      </c>
      <c r="M128" s="48">
        <v>23.235600000000002</v>
      </c>
      <c r="N128" s="48">
        <v>0.01</v>
      </c>
      <c r="O128" s="48">
        <v>46.1</v>
      </c>
      <c r="P128" s="48">
        <f ca="1">IFERROR(__xludf.DUMMYFUNCTION("""COMPUTED_VALUE"""),1.68)</f>
        <v>1.68</v>
      </c>
      <c r="R128" s="48">
        <f ca="1">IFERROR(__xludf.DUMMYFUNCTION("""COMPUTED_VALUE"""),743)</f>
        <v>743</v>
      </c>
      <c r="S128" s="48">
        <f ca="1">IFERROR(__xludf.DUMMYFUNCTION("""COMPUTED_VALUE"""),637)</f>
        <v>637</v>
      </c>
      <c r="T128" s="48">
        <f ca="1">IFERROR(__xludf.DUMMYFUNCTION("""COMPUTED_VALUE"""),405)</f>
        <v>405</v>
      </c>
      <c r="V128" s="48">
        <f t="shared" ca="1" si="6"/>
        <v>690</v>
      </c>
      <c r="AD128" s="48">
        <v>2</v>
      </c>
      <c r="AF128" t="str">
        <f ca="1">IFERROR(__xludf.DUMMYFUNCTION("""COMPUTED_VALUE"""),"Semi private (2-5 desks)")</f>
        <v>Semi private (2-5 desks)</v>
      </c>
      <c r="AG128" t="str">
        <f ca="1">IFERROR(__xludf.DUMMYFUNCTION("""COMPUTED_VALUE"""),"Yes")</f>
        <v>Yes</v>
      </c>
      <c r="AH128" t="str">
        <f ca="1">IFERROR(__xludf.DUMMYFUNCTION("""COMPUTED_VALUE"""),"Yes")</f>
        <v>Yes</v>
      </c>
      <c r="AI128" t="str">
        <f ca="1">IFERROR(__xludf.DUMMYFUNCTION("""COMPUTED_VALUE"""),"Yes")</f>
        <v>Yes</v>
      </c>
      <c r="AJ128" t="str">
        <f ca="1">IFERROR(__xludf.DUMMYFUNCTION("""COMPUTED_VALUE"""),"No")</f>
        <v>No</v>
      </c>
      <c r="AK128">
        <v>0</v>
      </c>
      <c r="AL128"/>
      <c r="AM128" t="str">
        <f ca="1">IFERROR(__xludf.DUMMYFUNCTION("""COMPUTED_VALUE"""),"Laminate")</f>
        <v>Laminate</v>
      </c>
      <c r="AN128" t="str">
        <f ca="1">IFERROR(__xludf.DUMMYFUNCTION("""COMPUTED_VALUE"""),"White")</f>
        <v>White</v>
      </c>
      <c r="AO128" t="str">
        <f ca="1">IFERROR(__xludf.DUMMYFUNCTION("""COMPUTED_VALUE"""),"Office chair")</f>
        <v>Office chair</v>
      </c>
      <c r="AP128" t="str">
        <f ca="1">IFERROR(__xludf.DUMMYFUNCTION("""COMPUTED_VALUE"""),"Cloth")</f>
        <v>Cloth</v>
      </c>
      <c r="AQ128" t="str">
        <f ca="1">IFERROR(__xludf.DUMMYFUNCTION("""COMPUTED_VALUE"""),"Carpet")</f>
        <v>Carpet</v>
      </c>
      <c r="AR128" t="str">
        <f ca="1">IFERROR(__xludf.DUMMYFUNCTION("""COMPUTED_VALUE"""),"Grey")</f>
        <v>Grey</v>
      </c>
      <c r="AS128" t="str">
        <f ca="1">IFERROR(__xludf.DUMMYFUNCTION("""COMPUTED_VALUE"""),"White")</f>
        <v>White</v>
      </c>
      <c r="AT128" t="str">
        <f ca="1">IFERROR(__xludf.DUMMYFUNCTION("""COMPUTED_VALUE"""),"White")</f>
        <v>White</v>
      </c>
      <c r="AU128" t="str">
        <f ca="1">IFERROR(__xludf.DUMMYFUNCTION("""COMPUTED_VALUE"""),"Grey")</f>
        <v>Grey</v>
      </c>
      <c r="AV128" t="str">
        <f ca="1">IFERROR(__xludf.DUMMYFUNCTION("""COMPUTED_VALUE"""),"No")</f>
        <v>No</v>
      </c>
      <c r="AW128">
        <f ca="1">IFERROR(__xludf.DUMMYFUNCTION("""COMPUTED_VALUE"""),743)</f>
        <v>743</v>
      </c>
      <c r="AX128">
        <f ca="1">IFERROR(__xludf.DUMMYFUNCTION("""COMPUTED_VALUE"""),637)</f>
        <v>637</v>
      </c>
      <c r="AY128">
        <f ca="1">IFERROR(__xludf.DUMMYFUNCTION("""COMPUTED_VALUE"""),405)</f>
        <v>405</v>
      </c>
      <c r="AZ128" t="str">
        <f ca="1">IFERROR(__xludf.DUMMYFUNCTION("""COMPUTED_VALUE"""),"No")</f>
        <v>No</v>
      </c>
      <c r="BA128">
        <f ca="1">IFERROR(__xludf.DUMMYFUNCTION("""COMPUTED_VALUE"""),2.6)</f>
        <v>2.6</v>
      </c>
      <c r="BB128">
        <f ca="1">IFERROR(__xludf.DUMMYFUNCTION("""COMPUTED_VALUE"""),1.2)</f>
        <v>1.2</v>
      </c>
      <c r="BC128" t="str">
        <f ca="1">IFERROR(__xludf.DUMMYFUNCTION("""COMPUTED_VALUE"""),"No")</f>
        <v>No</v>
      </c>
      <c r="BD128">
        <f ca="1">IFERROR(__xludf.DUMMYFUNCTION("""COMPUTED_VALUE"""),1.8)</f>
        <v>1.8</v>
      </c>
      <c r="BE128" t="str">
        <f ca="1">IFERROR(__xludf.DUMMYFUNCTION("""COMPUTED_VALUE"""),"NW")</f>
        <v>NW</v>
      </c>
      <c r="BF128" t="str">
        <f ca="1">IFERROR(__xludf.DUMMYFUNCTION("""COMPUTED_VALUE"""),"NA")</f>
        <v>NA</v>
      </c>
      <c r="BG128" t="str">
        <f ca="1">IFERROR(__xludf.DUMMYFUNCTION("""COMPUTED_VALUE"""),"NA")</f>
        <v>NA</v>
      </c>
      <c r="BH128">
        <f ca="1">IFERROR(__xludf.DUMMYFUNCTION("""COMPUTED_VALUE"""),1.52)</f>
        <v>1.52</v>
      </c>
      <c r="BI128">
        <f ca="1">IFERROR(__xludf.DUMMYFUNCTION("""COMPUTED_VALUE"""),0.76)</f>
        <v>0.76</v>
      </c>
      <c r="BJ128">
        <f ca="1">IFERROR(__xludf.DUMMYFUNCTION("""COMPUTED_VALUE"""),0.67)</f>
        <v>0.67</v>
      </c>
      <c r="BK128">
        <f ca="1">IFERROR(__xludf.DUMMYFUNCTION("""COMPUTED_VALUE"""),1.68)</f>
        <v>1.68</v>
      </c>
      <c r="BL128">
        <v>2</v>
      </c>
      <c r="BM128">
        <v>2</v>
      </c>
      <c r="BN128">
        <v>4</v>
      </c>
      <c r="BO128">
        <v>2</v>
      </c>
      <c r="BP128">
        <v>3</v>
      </c>
      <c r="BQ128">
        <v>4</v>
      </c>
      <c r="BR128">
        <v>3</v>
      </c>
      <c r="BS128">
        <v>1</v>
      </c>
      <c r="BT128">
        <v>2</v>
      </c>
      <c r="BU128">
        <v>2</v>
      </c>
      <c r="BV128">
        <v>2</v>
      </c>
      <c r="BW128">
        <v>3</v>
      </c>
      <c r="BX128">
        <v>2</v>
      </c>
      <c r="BY128">
        <v>3</v>
      </c>
      <c r="BZ128">
        <v>1</v>
      </c>
      <c r="CA128">
        <v>3</v>
      </c>
      <c r="CB128">
        <v>6</v>
      </c>
      <c r="CC128">
        <v>7</v>
      </c>
      <c r="CD128">
        <v>1</v>
      </c>
      <c r="CE128">
        <v>1</v>
      </c>
      <c r="CF128">
        <v>3</v>
      </c>
      <c r="CG128">
        <v>2</v>
      </c>
      <c r="CH128">
        <v>2</v>
      </c>
      <c r="CI128">
        <v>6</v>
      </c>
      <c r="CJ128">
        <v>5</v>
      </c>
      <c r="CK128">
        <v>5</v>
      </c>
      <c r="CL128">
        <v>3</v>
      </c>
      <c r="CM128">
        <v>1</v>
      </c>
      <c r="CN128" s="100" t="s">
        <v>223</v>
      </c>
      <c r="CO128">
        <v>1</v>
      </c>
      <c r="CP128">
        <v>5</v>
      </c>
      <c r="CQ128">
        <v>6</v>
      </c>
      <c r="CR128">
        <v>1</v>
      </c>
      <c r="CS128">
        <v>1</v>
      </c>
      <c r="CT128">
        <v>6</v>
      </c>
      <c r="CU128">
        <v>6</v>
      </c>
      <c r="CV128">
        <v>2</v>
      </c>
      <c r="CW128">
        <v>3</v>
      </c>
      <c r="CX128" s="100" t="s">
        <v>15</v>
      </c>
      <c r="CY128">
        <v>4</v>
      </c>
      <c r="CZ128">
        <v>1</v>
      </c>
      <c r="DA128">
        <v>3</v>
      </c>
      <c r="DB128">
        <v>2</v>
      </c>
      <c r="DC128">
        <v>2</v>
      </c>
      <c r="DD128">
        <v>3</v>
      </c>
      <c r="DE128">
        <v>4</v>
      </c>
      <c r="DF128">
        <v>5</v>
      </c>
      <c r="DG128">
        <v>5</v>
      </c>
      <c r="DH128" s="100" t="s">
        <v>562</v>
      </c>
      <c r="DI128" s="100" t="s">
        <v>223</v>
      </c>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row>
    <row r="129" spans="1:145" s="48" customFormat="1" ht="14">
      <c r="A129" s="50">
        <v>43868.480023148149</v>
      </c>
      <c r="B129" s="48" t="str">
        <f ca="1">IFERROR(__xludf.DUMMYFUNCTION("""COMPUTED_VALUE"""),"D00430")</f>
        <v>D00430</v>
      </c>
      <c r="C129" s="86">
        <f t="shared" si="4"/>
        <v>128</v>
      </c>
      <c r="D129" s="48" t="s">
        <v>139</v>
      </c>
      <c r="E129" s="48" t="s">
        <v>66</v>
      </c>
      <c r="F129" s="48">
        <v>11</v>
      </c>
      <c r="G129" s="48">
        <f ca="1">IFERROR(__xludf.DUMMYFUNCTION("""COMPUTED_VALUE"""),22.1)</f>
        <v>22.1</v>
      </c>
      <c r="H129" s="48">
        <f ca="1">IFERROR(__xludf.DUMMYFUNCTION("""COMPUTED_VALUE"""),36.3)</f>
        <v>36.299999999999997</v>
      </c>
      <c r="I129" s="48">
        <v>772</v>
      </c>
      <c r="J129" s="48">
        <v>1</v>
      </c>
      <c r="K129" s="48">
        <v>165</v>
      </c>
      <c r="L129" s="48">
        <v>0.49000000000000005</v>
      </c>
      <c r="M129" s="48">
        <v>22.717300000000002</v>
      </c>
      <c r="N129" s="48">
        <v>0.05</v>
      </c>
      <c r="O129" s="48">
        <v>48.8</v>
      </c>
      <c r="P129" s="48">
        <f ca="1">IFERROR(__xludf.DUMMYFUNCTION("""COMPUTED_VALUE"""),1.64)</f>
        <v>1.64</v>
      </c>
      <c r="R129" s="48">
        <f ca="1">IFERROR(__xludf.DUMMYFUNCTION("""COMPUTED_VALUE"""),478)</f>
        <v>478</v>
      </c>
      <c r="S129" s="48">
        <f ca="1">IFERROR(__xludf.DUMMYFUNCTION("""COMPUTED_VALUE"""),460)</f>
        <v>460</v>
      </c>
      <c r="T129" s="48">
        <f ca="1">IFERROR(__xludf.DUMMYFUNCTION("""COMPUTED_VALUE"""),211)</f>
        <v>211</v>
      </c>
      <c r="V129" s="48">
        <f t="shared" ca="1" si="6"/>
        <v>469</v>
      </c>
      <c r="AD129" s="48">
        <v>6</v>
      </c>
      <c r="AF129" t="str">
        <f ca="1">IFERROR(__xludf.DUMMYFUNCTION("""COMPUTED_VALUE"""),"Semi private (2-5 desks)")</f>
        <v>Semi private (2-5 desks)</v>
      </c>
      <c r="AG129" t="str">
        <f ca="1">IFERROR(__xludf.DUMMYFUNCTION("""COMPUTED_VALUE"""),"Yes")</f>
        <v>Yes</v>
      </c>
      <c r="AH129" t="str">
        <f ca="1">IFERROR(__xludf.DUMMYFUNCTION("""COMPUTED_VALUE"""),"Yes")</f>
        <v>Yes</v>
      </c>
      <c r="AI129" t="str">
        <f ca="1">IFERROR(__xludf.DUMMYFUNCTION("""COMPUTED_VALUE"""),"Yes")</f>
        <v>Yes</v>
      </c>
      <c r="AJ129" t="str">
        <f ca="1">IFERROR(__xludf.DUMMYFUNCTION("""COMPUTED_VALUE"""),"No")</f>
        <v>No</v>
      </c>
      <c r="AK129">
        <v>0</v>
      </c>
      <c r="AL129"/>
      <c r="AM129" t="str">
        <f ca="1">IFERROR(__xludf.DUMMYFUNCTION("""COMPUTED_VALUE"""),"Wood")</f>
        <v>Wood</v>
      </c>
      <c r="AN129" t="str">
        <f ca="1">IFERROR(__xludf.DUMMYFUNCTION("""COMPUTED_VALUE"""),"Brown")</f>
        <v>Brown</v>
      </c>
      <c r="AO129" t="str">
        <f ca="1">IFERROR(__xludf.DUMMYFUNCTION("""COMPUTED_VALUE"""),"Office chair")</f>
        <v>Office chair</v>
      </c>
      <c r="AP129" t="str">
        <f ca="1">IFERROR(__xludf.DUMMYFUNCTION("""COMPUTED_VALUE"""),"Cloth")</f>
        <v>Cloth</v>
      </c>
      <c r="AQ129" t="str">
        <f ca="1">IFERROR(__xludf.DUMMYFUNCTION("""COMPUTED_VALUE"""),"Carpet")</f>
        <v>Carpet</v>
      </c>
      <c r="AR129" t="str">
        <f ca="1">IFERROR(__xludf.DUMMYFUNCTION("""COMPUTED_VALUE"""),"Brown")</f>
        <v>Brown</v>
      </c>
      <c r="AS129" t="str">
        <f ca="1">IFERROR(__xludf.DUMMYFUNCTION("""COMPUTED_VALUE"""),"White")</f>
        <v>White</v>
      </c>
      <c r="AT129" t="str">
        <f ca="1">IFERROR(__xludf.DUMMYFUNCTION("""COMPUTED_VALUE"""),"White")</f>
        <v>White</v>
      </c>
      <c r="AU129" t="str">
        <f ca="1">IFERROR(__xludf.DUMMYFUNCTION("""COMPUTED_VALUE"""),"Grey")</f>
        <v>Grey</v>
      </c>
      <c r="AV129" t="str">
        <f ca="1">IFERROR(__xludf.DUMMYFUNCTION("""COMPUTED_VALUE"""),"No")</f>
        <v>No</v>
      </c>
      <c r="AW129">
        <f ca="1">IFERROR(__xludf.DUMMYFUNCTION("""COMPUTED_VALUE"""),478)</f>
        <v>478</v>
      </c>
      <c r="AX129">
        <f ca="1">IFERROR(__xludf.DUMMYFUNCTION("""COMPUTED_VALUE"""),460)</f>
        <v>460</v>
      </c>
      <c r="AY129">
        <f ca="1">IFERROR(__xludf.DUMMYFUNCTION("""COMPUTED_VALUE"""),211)</f>
        <v>211</v>
      </c>
      <c r="AZ129" t="str">
        <f ca="1">IFERROR(__xludf.DUMMYFUNCTION("""COMPUTED_VALUE"""),"No")</f>
        <v>No</v>
      </c>
      <c r="BA129">
        <f ca="1">IFERROR(__xludf.DUMMYFUNCTION("""COMPUTED_VALUE"""),2.7)</f>
        <v>2.7</v>
      </c>
      <c r="BB129">
        <f ca="1">IFERROR(__xludf.DUMMYFUNCTION("""COMPUTED_VALUE"""),3)</f>
        <v>3</v>
      </c>
      <c r="BC129" t="str">
        <f ca="1">IFERROR(__xludf.DUMMYFUNCTION("""COMPUTED_VALUE"""),"No")</f>
        <v>No</v>
      </c>
      <c r="BD129">
        <f ca="1">IFERROR(__xludf.DUMMYFUNCTION("""COMPUTED_VALUE"""),3)</f>
        <v>3</v>
      </c>
      <c r="BE129" t="str">
        <f ca="1">IFERROR(__xludf.DUMMYFUNCTION("""COMPUTED_VALUE"""),"NE")</f>
        <v>NE</v>
      </c>
      <c r="BF129" t="str">
        <f ca="1">IFERROR(__xludf.DUMMYFUNCTION("""COMPUTED_VALUE"""),"NA")</f>
        <v>NA</v>
      </c>
      <c r="BG129" t="str">
        <f ca="1">IFERROR(__xludf.DUMMYFUNCTION("""COMPUTED_VALUE"""),"NA")</f>
        <v>NA</v>
      </c>
      <c r="BH129">
        <f ca="1">IFERROR(__xludf.DUMMYFUNCTION("""COMPUTED_VALUE"""),2.88)</f>
        <v>2.88</v>
      </c>
      <c r="BI129">
        <f ca="1">IFERROR(__xludf.DUMMYFUNCTION("""COMPUTED_VALUE"""),0.75)</f>
        <v>0.75</v>
      </c>
      <c r="BJ129">
        <f ca="1">IFERROR(__xludf.DUMMYFUNCTION("""COMPUTED_VALUE"""),0.75)</f>
        <v>0.75</v>
      </c>
      <c r="BK129">
        <f ca="1">IFERROR(__xludf.DUMMYFUNCTION("""COMPUTED_VALUE"""),1.64)</f>
        <v>1.64</v>
      </c>
      <c r="BL129">
        <v>2</v>
      </c>
      <c r="BM129">
        <v>2</v>
      </c>
      <c r="BN129">
        <v>4</v>
      </c>
      <c r="BO129">
        <v>3</v>
      </c>
      <c r="BP129">
        <v>2</v>
      </c>
      <c r="BQ129">
        <v>2</v>
      </c>
      <c r="BR129">
        <v>2</v>
      </c>
      <c r="BS129">
        <v>1</v>
      </c>
      <c r="BT129">
        <v>2</v>
      </c>
      <c r="BU129">
        <v>2</v>
      </c>
      <c r="BV129">
        <v>2</v>
      </c>
      <c r="BW129">
        <v>2</v>
      </c>
      <c r="BX129">
        <v>2</v>
      </c>
      <c r="BY129">
        <v>3</v>
      </c>
      <c r="BZ129">
        <v>1</v>
      </c>
      <c r="CA129">
        <v>6</v>
      </c>
      <c r="CB129">
        <v>5</v>
      </c>
      <c r="CC129">
        <v>6</v>
      </c>
      <c r="CD129">
        <v>1</v>
      </c>
      <c r="CE129">
        <v>1</v>
      </c>
      <c r="CF129">
        <v>5</v>
      </c>
      <c r="CG129">
        <v>1</v>
      </c>
      <c r="CH129">
        <v>2</v>
      </c>
      <c r="CI129">
        <v>5</v>
      </c>
      <c r="CJ129">
        <v>6</v>
      </c>
      <c r="CK129">
        <v>4</v>
      </c>
      <c r="CL129">
        <v>4</v>
      </c>
      <c r="CM129">
        <v>1</v>
      </c>
      <c r="CN129" s="100" t="s">
        <v>223</v>
      </c>
      <c r="CO129">
        <v>1</v>
      </c>
      <c r="CP129">
        <v>5</v>
      </c>
      <c r="CQ129">
        <v>6</v>
      </c>
      <c r="CR129">
        <v>1</v>
      </c>
      <c r="CS129">
        <v>1</v>
      </c>
      <c r="CT129">
        <v>4</v>
      </c>
      <c r="CU129">
        <v>5</v>
      </c>
      <c r="CV129">
        <v>3</v>
      </c>
      <c r="CW129">
        <v>3</v>
      </c>
      <c r="CX129" s="100" t="s">
        <v>257</v>
      </c>
      <c r="CY129">
        <v>5</v>
      </c>
      <c r="CZ129">
        <v>1</v>
      </c>
      <c r="DA129">
        <v>3</v>
      </c>
      <c r="DB129">
        <v>3</v>
      </c>
      <c r="DC129">
        <v>5</v>
      </c>
      <c r="DD129">
        <v>4</v>
      </c>
      <c r="DE129">
        <v>3</v>
      </c>
      <c r="DF129">
        <v>3</v>
      </c>
      <c r="DG129">
        <v>5</v>
      </c>
      <c r="DH129" s="100" t="s">
        <v>223</v>
      </c>
      <c r="DI129" s="100" t="s">
        <v>223</v>
      </c>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row>
    <row r="130" spans="1:145" s="48" customFormat="1" ht="14">
      <c r="A130" s="50">
        <v>43868.48233796296</v>
      </c>
      <c r="B130" s="48" t="str">
        <f ca="1">IFERROR(__xludf.DUMMYFUNCTION("""COMPUTED_VALUE"""),"D00385")</f>
        <v>D00385</v>
      </c>
      <c r="C130" s="86">
        <f t="shared" si="4"/>
        <v>129</v>
      </c>
      <c r="D130" s="48" t="s">
        <v>139</v>
      </c>
      <c r="E130" s="48" t="s">
        <v>66</v>
      </c>
      <c r="F130" s="48">
        <v>11</v>
      </c>
      <c r="G130" s="48">
        <f ca="1">IFERROR(__xludf.DUMMYFUNCTION("""COMPUTED_VALUE"""),22.8)</f>
        <v>22.8</v>
      </c>
      <c r="H130" s="48">
        <f ca="1">IFERROR(__xludf.DUMMYFUNCTION("""COMPUTED_VALUE"""),36.4)</f>
        <v>36.4</v>
      </c>
      <c r="I130" s="48">
        <v>770</v>
      </c>
      <c r="J130" s="48">
        <v>1</v>
      </c>
      <c r="K130" s="48">
        <v>164</v>
      </c>
      <c r="L130" s="48">
        <v>0.44000000000000006</v>
      </c>
      <c r="M130" s="48">
        <v>23.0152</v>
      </c>
      <c r="N130" s="48">
        <v>0.02</v>
      </c>
      <c r="O130" s="48">
        <v>48.8</v>
      </c>
      <c r="P130" s="48">
        <f ca="1">IFERROR(__xludf.DUMMYFUNCTION("""COMPUTED_VALUE"""),1.64)</f>
        <v>1.64</v>
      </c>
      <c r="R130" s="48">
        <f ca="1">IFERROR(__xludf.DUMMYFUNCTION("""COMPUTED_VALUE"""),194)</f>
        <v>194</v>
      </c>
      <c r="S130" s="48">
        <f ca="1">IFERROR(__xludf.DUMMYFUNCTION("""COMPUTED_VALUE"""),261)</f>
        <v>261</v>
      </c>
      <c r="T130" s="48">
        <f ca="1">IFERROR(__xludf.DUMMYFUNCTION("""COMPUTED_VALUE"""),300)</f>
        <v>300</v>
      </c>
      <c r="V130" s="48">
        <f t="shared" ca="1" si="6"/>
        <v>227.5</v>
      </c>
      <c r="AD130" s="48">
        <v>4</v>
      </c>
      <c r="AF130" t="str">
        <f ca="1">IFERROR(__xludf.DUMMYFUNCTION("""COMPUTED_VALUE"""),"Semi private (2-5 desks)")</f>
        <v>Semi private (2-5 desks)</v>
      </c>
      <c r="AG130" t="str">
        <f ca="1">IFERROR(__xludf.DUMMYFUNCTION("""COMPUTED_VALUE"""),"Yes")</f>
        <v>Yes</v>
      </c>
      <c r="AH130" t="str">
        <f ca="1">IFERROR(__xludf.DUMMYFUNCTION("""COMPUTED_VALUE"""),"Yes")</f>
        <v>Yes</v>
      </c>
      <c r="AI130" t="str">
        <f ca="1">IFERROR(__xludf.DUMMYFUNCTION("""COMPUTED_VALUE"""),"Yes")</f>
        <v>Yes</v>
      </c>
      <c r="AJ130" t="str">
        <f ca="1">IFERROR(__xludf.DUMMYFUNCTION("""COMPUTED_VALUE"""),"No")</f>
        <v>No</v>
      </c>
      <c r="AK130">
        <v>0</v>
      </c>
      <c r="AL130"/>
      <c r="AM130" t="str">
        <f ca="1">IFERROR(__xludf.DUMMYFUNCTION("""COMPUTED_VALUE"""),"Wood")</f>
        <v>Wood</v>
      </c>
      <c r="AN130" t="str">
        <f ca="1">IFERROR(__xludf.DUMMYFUNCTION("""COMPUTED_VALUE"""),"Brown")</f>
        <v>Brown</v>
      </c>
      <c r="AO130" t="str">
        <f ca="1">IFERROR(__xludf.DUMMYFUNCTION("""COMPUTED_VALUE"""),"Office chair")</f>
        <v>Office chair</v>
      </c>
      <c r="AP130" t="str">
        <f ca="1">IFERROR(__xludf.DUMMYFUNCTION("""COMPUTED_VALUE"""),"Cloth")</f>
        <v>Cloth</v>
      </c>
      <c r="AQ130" t="str">
        <f ca="1">IFERROR(__xludf.DUMMYFUNCTION("""COMPUTED_VALUE"""),"Carpet")</f>
        <v>Carpet</v>
      </c>
      <c r="AR130" t="str">
        <f ca="1">IFERROR(__xludf.DUMMYFUNCTION("""COMPUTED_VALUE"""),"Brown")</f>
        <v>Brown</v>
      </c>
      <c r="AS130" t="str">
        <f ca="1">IFERROR(__xludf.DUMMYFUNCTION("""COMPUTED_VALUE"""),"White")</f>
        <v>White</v>
      </c>
      <c r="AT130" t="str">
        <f ca="1">IFERROR(__xludf.DUMMYFUNCTION("""COMPUTED_VALUE"""),"White")</f>
        <v>White</v>
      </c>
      <c r="AU130" t="str">
        <f ca="1">IFERROR(__xludf.DUMMYFUNCTION("""COMPUTED_VALUE"""),"Grey")</f>
        <v>Grey</v>
      </c>
      <c r="AV130" t="str">
        <f ca="1">IFERROR(__xludf.DUMMYFUNCTION("""COMPUTED_VALUE"""),"No")</f>
        <v>No</v>
      </c>
      <c r="AW130">
        <f ca="1">IFERROR(__xludf.DUMMYFUNCTION("""COMPUTED_VALUE"""),194)</f>
        <v>194</v>
      </c>
      <c r="AX130">
        <f ca="1">IFERROR(__xludf.DUMMYFUNCTION("""COMPUTED_VALUE"""),261)</f>
        <v>261</v>
      </c>
      <c r="AY130">
        <f ca="1">IFERROR(__xludf.DUMMYFUNCTION("""COMPUTED_VALUE"""),300)</f>
        <v>300</v>
      </c>
      <c r="AZ130" t="str">
        <f ca="1">IFERROR(__xludf.DUMMYFUNCTION("""COMPUTED_VALUE"""),"No")</f>
        <v>No</v>
      </c>
      <c r="BA130">
        <f ca="1">IFERROR(__xludf.DUMMYFUNCTION("""COMPUTED_VALUE"""),2.7)</f>
        <v>2.7</v>
      </c>
      <c r="BB130" t="str">
        <f ca="1">IFERROR(__xludf.DUMMYFUNCTION("""COMPUTED_VALUE"""),"NA")</f>
        <v>NA</v>
      </c>
      <c r="BC130" t="str">
        <f ca="1">IFERROR(__xludf.DUMMYFUNCTION("""COMPUTED_VALUE"""),"No")</f>
        <v>No</v>
      </c>
      <c r="BD130">
        <f ca="1">IFERROR(__xludf.DUMMYFUNCTION("""COMPUTED_VALUE"""),3)</f>
        <v>3</v>
      </c>
      <c r="BE130" t="str">
        <f ca="1">IFERROR(__xludf.DUMMYFUNCTION("""COMPUTED_VALUE"""),"NE")</f>
        <v>NE</v>
      </c>
      <c r="BF130" t="str">
        <f ca="1">IFERROR(__xludf.DUMMYFUNCTION("""COMPUTED_VALUE"""),"NA")</f>
        <v>NA</v>
      </c>
      <c r="BG130" t="str">
        <f ca="1">IFERROR(__xludf.DUMMYFUNCTION("""COMPUTED_VALUE"""),"NA")</f>
        <v>NA</v>
      </c>
      <c r="BH130">
        <f ca="1">IFERROR(__xludf.DUMMYFUNCTION("""COMPUTED_VALUE"""),2.88)</f>
        <v>2.88</v>
      </c>
      <c r="BI130">
        <f ca="1">IFERROR(__xludf.DUMMYFUNCTION("""COMPUTED_VALUE"""),0.75)</f>
        <v>0.75</v>
      </c>
      <c r="BJ130">
        <f ca="1">IFERROR(__xludf.DUMMYFUNCTION("""COMPUTED_VALUE"""),0.75)</f>
        <v>0.75</v>
      </c>
      <c r="BK130">
        <f ca="1">IFERROR(__xludf.DUMMYFUNCTION("""COMPUTED_VALUE"""),1.64)</f>
        <v>1.64</v>
      </c>
      <c r="BL130">
        <v>1</v>
      </c>
      <c r="BM130">
        <v>2</v>
      </c>
      <c r="BN130">
        <v>4</v>
      </c>
      <c r="BO130">
        <v>3</v>
      </c>
      <c r="BP130">
        <v>2</v>
      </c>
      <c r="BQ130">
        <v>4</v>
      </c>
      <c r="BR130">
        <v>6</v>
      </c>
      <c r="BS130">
        <v>2</v>
      </c>
      <c r="BT130">
        <v>2</v>
      </c>
      <c r="BU130">
        <v>5</v>
      </c>
      <c r="BV130">
        <v>4</v>
      </c>
      <c r="BW130">
        <v>5</v>
      </c>
      <c r="BX130">
        <v>3</v>
      </c>
      <c r="BY130">
        <v>3</v>
      </c>
      <c r="BZ130">
        <v>2</v>
      </c>
      <c r="CA130">
        <v>6</v>
      </c>
      <c r="CB130">
        <v>6</v>
      </c>
      <c r="CC130">
        <v>5</v>
      </c>
      <c r="CD130">
        <v>1</v>
      </c>
      <c r="CE130">
        <v>1</v>
      </c>
      <c r="CF130">
        <v>6</v>
      </c>
      <c r="CG130">
        <v>1</v>
      </c>
      <c r="CH130">
        <v>3</v>
      </c>
      <c r="CI130">
        <v>6</v>
      </c>
      <c r="CJ130">
        <v>4</v>
      </c>
      <c r="CK130">
        <v>5</v>
      </c>
      <c r="CL130">
        <v>4</v>
      </c>
      <c r="CM130">
        <v>1</v>
      </c>
      <c r="CN130" s="100" t="s">
        <v>223</v>
      </c>
      <c r="CO130">
        <v>2</v>
      </c>
      <c r="CP130">
        <v>5</v>
      </c>
      <c r="CQ130">
        <v>6</v>
      </c>
      <c r="CR130">
        <v>1</v>
      </c>
      <c r="CS130">
        <v>2</v>
      </c>
      <c r="CT130">
        <v>6</v>
      </c>
      <c r="CU130">
        <v>5</v>
      </c>
      <c r="CV130">
        <v>1</v>
      </c>
      <c r="CW130">
        <v>3</v>
      </c>
      <c r="CX130" s="100" t="s">
        <v>257</v>
      </c>
      <c r="CY130">
        <v>3</v>
      </c>
      <c r="CZ130">
        <v>1</v>
      </c>
      <c r="DA130">
        <v>2</v>
      </c>
      <c r="DB130">
        <v>1</v>
      </c>
      <c r="DC130">
        <v>3</v>
      </c>
      <c r="DD130">
        <v>4</v>
      </c>
      <c r="DE130">
        <v>5</v>
      </c>
      <c r="DF130">
        <v>4</v>
      </c>
      <c r="DG130">
        <v>4</v>
      </c>
      <c r="DH130" s="100" t="s">
        <v>223</v>
      </c>
      <c r="DI130" s="100" t="s">
        <v>223</v>
      </c>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row>
    <row r="131" spans="1:145" s="48" customFormat="1" ht="14">
      <c r="A131" s="50">
        <v>43868.48877314815</v>
      </c>
      <c r="B131" s="48" t="str">
        <f ca="1">IFERROR(__xludf.DUMMYFUNCTION("""COMPUTED_VALUE"""),"D00340")</f>
        <v>D00340</v>
      </c>
      <c r="C131" s="86">
        <f t="shared" ref="C131:C142" si="7">C130+1</f>
        <v>130</v>
      </c>
      <c r="D131" s="48" t="s">
        <v>139</v>
      </c>
      <c r="E131" s="48" t="s">
        <v>66</v>
      </c>
      <c r="F131" s="48">
        <v>11</v>
      </c>
      <c r="G131" s="48">
        <f ca="1">IFERROR(__xludf.DUMMYFUNCTION("""COMPUTED_VALUE"""),23.3)</f>
        <v>23.3</v>
      </c>
      <c r="H131" s="48">
        <f ca="1">IFERROR(__xludf.DUMMYFUNCTION("""COMPUTED_VALUE"""),36.1)</f>
        <v>36.1</v>
      </c>
      <c r="I131" s="48">
        <v>837</v>
      </c>
      <c r="J131" s="48">
        <v>1.1000000000000001</v>
      </c>
      <c r="K131" s="48">
        <v>158</v>
      </c>
      <c r="L131" s="48">
        <v>0.80999999999999994</v>
      </c>
      <c r="M131" s="48">
        <v>23.010999999999999</v>
      </c>
      <c r="N131" s="48">
        <v>0.08</v>
      </c>
      <c r="O131" s="48">
        <v>46.9</v>
      </c>
      <c r="P131" s="48">
        <f ca="1">IFERROR(__xludf.DUMMYFUNCTION("""COMPUTED_VALUE"""),1.64)</f>
        <v>1.64</v>
      </c>
      <c r="R131" s="48">
        <f ca="1">IFERROR(__xludf.DUMMYFUNCTION("""COMPUTED_VALUE"""),730)</f>
        <v>730</v>
      </c>
      <c r="S131" s="48">
        <f ca="1">IFERROR(__xludf.DUMMYFUNCTION("""COMPUTED_VALUE"""),694)</f>
        <v>694</v>
      </c>
      <c r="T131" s="48">
        <f ca="1">IFERROR(__xludf.DUMMYFUNCTION("""COMPUTED_VALUE"""),364)</f>
        <v>364</v>
      </c>
      <c r="V131" s="48">
        <f t="shared" ca="1" si="6"/>
        <v>712</v>
      </c>
      <c r="AD131" s="48">
        <v>3</v>
      </c>
      <c r="AF131" t="str">
        <f ca="1">IFERROR(__xludf.DUMMYFUNCTION("""COMPUTED_VALUE"""),"Semi private (2-5 desks)")</f>
        <v>Semi private (2-5 desks)</v>
      </c>
      <c r="AG131" t="str">
        <f ca="1">IFERROR(__xludf.DUMMYFUNCTION("""COMPUTED_VALUE"""),"Yes")</f>
        <v>Yes</v>
      </c>
      <c r="AH131" t="str">
        <f ca="1">IFERROR(__xludf.DUMMYFUNCTION("""COMPUTED_VALUE"""),"Yes")</f>
        <v>Yes</v>
      </c>
      <c r="AI131" t="str">
        <f ca="1">IFERROR(__xludf.DUMMYFUNCTION("""COMPUTED_VALUE"""),"Yes")</f>
        <v>Yes</v>
      </c>
      <c r="AJ131" t="str">
        <f ca="1">IFERROR(__xludf.DUMMYFUNCTION("""COMPUTED_VALUE"""),"No")</f>
        <v>No</v>
      </c>
      <c r="AK131">
        <v>0</v>
      </c>
      <c r="AL131"/>
      <c r="AM131" t="str">
        <f ca="1">IFERROR(__xludf.DUMMYFUNCTION("""COMPUTED_VALUE"""),"Wood")</f>
        <v>Wood</v>
      </c>
      <c r="AN131" t="str">
        <f ca="1">IFERROR(__xludf.DUMMYFUNCTION("""COMPUTED_VALUE"""),"Brown")</f>
        <v>Brown</v>
      </c>
      <c r="AO131" t="str">
        <f ca="1">IFERROR(__xludf.DUMMYFUNCTION("""COMPUTED_VALUE"""),"Office chair")</f>
        <v>Office chair</v>
      </c>
      <c r="AP131" t="str">
        <f ca="1">IFERROR(__xludf.DUMMYFUNCTION("""COMPUTED_VALUE"""),"Cloth")</f>
        <v>Cloth</v>
      </c>
      <c r="AQ131" t="str">
        <f ca="1">IFERROR(__xludf.DUMMYFUNCTION("""COMPUTED_VALUE"""),"Carpet")</f>
        <v>Carpet</v>
      </c>
      <c r="AR131" t="str">
        <f ca="1">IFERROR(__xludf.DUMMYFUNCTION("""COMPUTED_VALUE"""),"Brown")</f>
        <v>Brown</v>
      </c>
      <c r="AS131" t="str">
        <f ca="1">IFERROR(__xludf.DUMMYFUNCTION("""COMPUTED_VALUE"""),"White")</f>
        <v>White</v>
      </c>
      <c r="AT131" t="str">
        <f ca="1">IFERROR(__xludf.DUMMYFUNCTION("""COMPUTED_VALUE"""),"White")</f>
        <v>White</v>
      </c>
      <c r="AU131" t="str">
        <f ca="1">IFERROR(__xludf.DUMMYFUNCTION("""COMPUTED_VALUE"""),"Grey")</f>
        <v>Grey</v>
      </c>
      <c r="AV131" t="str">
        <f ca="1">IFERROR(__xludf.DUMMYFUNCTION("""COMPUTED_VALUE"""),"No")</f>
        <v>No</v>
      </c>
      <c r="AW131">
        <f ca="1">IFERROR(__xludf.DUMMYFUNCTION("""COMPUTED_VALUE"""),730)</f>
        <v>730</v>
      </c>
      <c r="AX131">
        <f ca="1">IFERROR(__xludf.DUMMYFUNCTION("""COMPUTED_VALUE"""),694)</f>
        <v>694</v>
      </c>
      <c r="AY131">
        <f ca="1">IFERROR(__xludf.DUMMYFUNCTION("""COMPUTED_VALUE"""),364)</f>
        <v>364</v>
      </c>
      <c r="AZ131" t="str">
        <f ca="1">IFERROR(__xludf.DUMMYFUNCTION("""COMPUTED_VALUE"""),"No")</f>
        <v>No</v>
      </c>
      <c r="BA131">
        <f ca="1">IFERROR(__xludf.DUMMYFUNCTION("""COMPUTED_VALUE"""),2.7)</f>
        <v>2.7</v>
      </c>
      <c r="BB131" t="str">
        <f ca="1">IFERROR(__xludf.DUMMYFUNCTION("""COMPUTED_VALUE"""),"NA")</f>
        <v>NA</v>
      </c>
      <c r="BC131" t="str">
        <f ca="1">IFERROR(__xludf.DUMMYFUNCTION("""COMPUTED_VALUE"""),"No")</f>
        <v>No</v>
      </c>
      <c r="BD131" t="str">
        <f ca="1">IFERROR(__xludf.DUMMYFUNCTION("""COMPUTED_VALUE"""),"NA")</f>
        <v>NA</v>
      </c>
      <c r="BE131" t="str">
        <f ca="1">IFERROR(__xludf.DUMMYFUNCTION("""COMPUTED_VALUE"""),"NA")</f>
        <v>NA</v>
      </c>
      <c r="BF131" t="str">
        <f ca="1">IFERROR(__xludf.DUMMYFUNCTION("""COMPUTED_VALUE"""),"NA")</f>
        <v>NA</v>
      </c>
      <c r="BG131" t="str">
        <f ca="1">IFERROR(__xludf.DUMMYFUNCTION("""COMPUTED_VALUE"""),"NA")</f>
        <v>NA</v>
      </c>
      <c r="BH131">
        <f ca="1">IFERROR(__xludf.DUMMYFUNCTION("""COMPUTED_VALUE"""),2.88)</f>
        <v>2.88</v>
      </c>
      <c r="BI131">
        <f ca="1">IFERROR(__xludf.DUMMYFUNCTION("""COMPUTED_VALUE"""),0.75)</f>
        <v>0.75</v>
      </c>
      <c r="BJ131">
        <f ca="1">IFERROR(__xludf.DUMMYFUNCTION("""COMPUTED_VALUE"""),0.75)</f>
        <v>0.75</v>
      </c>
      <c r="BK131">
        <f ca="1">IFERROR(__xludf.DUMMYFUNCTION("""COMPUTED_VALUE"""),1.64)</f>
        <v>1.64</v>
      </c>
      <c r="BL131">
        <v>1</v>
      </c>
      <c r="BM131">
        <v>3</v>
      </c>
      <c r="BN131">
        <v>4</v>
      </c>
      <c r="BO131">
        <v>2</v>
      </c>
      <c r="BP131">
        <v>2</v>
      </c>
      <c r="BQ131">
        <v>5</v>
      </c>
      <c r="BR131">
        <v>4</v>
      </c>
      <c r="BS131">
        <v>3</v>
      </c>
      <c r="BT131">
        <v>3</v>
      </c>
      <c r="BU131">
        <v>3</v>
      </c>
      <c r="BV131">
        <v>2</v>
      </c>
      <c r="BW131">
        <v>4</v>
      </c>
      <c r="BX131">
        <v>3</v>
      </c>
      <c r="BY131">
        <v>3</v>
      </c>
      <c r="BZ131">
        <v>3</v>
      </c>
      <c r="CA131">
        <v>6</v>
      </c>
      <c r="CB131">
        <v>3</v>
      </c>
      <c r="CC131">
        <v>3</v>
      </c>
      <c r="CD131">
        <v>1</v>
      </c>
      <c r="CE131">
        <v>1</v>
      </c>
      <c r="CF131">
        <v>4</v>
      </c>
      <c r="CG131">
        <v>1</v>
      </c>
      <c r="CH131">
        <v>2</v>
      </c>
      <c r="CI131">
        <v>4</v>
      </c>
      <c r="CJ131">
        <v>4</v>
      </c>
      <c r="CK131">
        <v>4</v>
      </c>
      <c r="CL131">
        <v>4</v>
      </c>
      <c r="CM131">
        <v>1</v>
      </c>
      <c r="CN131" s="100" t="s">
        <v>223</v>
      </c>
      <c r="CO131">
        <v>2</v>
      </c>
      <c r="CP131">
        <v>5</v>
      </c>
      <c r="CQ131">
        <v>5</v>
      </c>
      <c r="CR131">
        <v>1</v>
      </c>
      <c r="CS131">
        <v>2</v>
      </c>
      <c r="CT131">
        <v>5</v>
      </c>
      <c r="CU131">
        <v>4</v>
      </c>
      <c r="CV131">
        <v>1</v>
      </c>
      <c r="CW131">
        <v>2</v>
      </c>
      <c r="CX131" s="100" t="s">
        <v>15</v>
      </c>
      <c r="CY131">
        <v>4</v>
      </c>
      <c r="CZ131">
        <v>1</v>
      </c>
      <c r="DA131">
        <v>3</v>
      </c>
      <c r="DB131">
        <v>1</v>
      </c>
      <c r="DC131">
        <v>3</v>
      </c>
      <c r="DD131">
        <v>4</v>
      </c>
      <c r="DE131">
        <v>4</v>
      </c>
      <c r="DF131">
        <v>3</v>
      </c>
      <c r="DG131">
        <v>5</v>
      </c>
      <c r="DH131" s="100" t="s">
        <v>223</v>
      </c>
      <c r="DI131" s="100" t="s">
        <v>223</v>
      </c>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row>
    <row r="132" spans="1:145" s="56" customFormat="1" ht="14">
      <c r="A132" s="85">
        <v>43871.507453703707</v>
      </c>
      <c r="B132" s="56" t="str">
        <f ca="1">IFERROR(__xludf.DUMMYFUNCTION("""COMPUTED_VALUE"""),"E00310")</f>
        <v>E00310</v>
      </c>
      <c r="C132" s="86">
        <f t="shared" si="7"/>
        <v>131</v>
      </c>
      <c r="D132" s="56" t="s">
        <v>139</v>
      </c>
      <c r="E132" s="56" t="s">
        <v>67</v>
      </c>
      <c r="F132" s="56">
        <v>12</v>
      </c>
      <c r="G132" s="56">
        <f ca="1">IFERROR(__xludf.DUMMYFUNCTION("""COMPUTED_VALUE"""),20.5)</f>
        <v>20.5</v>
      </c>
      <c r="H132" s="56">
        <f ca="1">IFERROR(__xludf.DUMMYFUNCTION("""COMPUTED_VALUE"""),39.8)</f>
        <v>39.799999999999997</v>
      </c>
      <c r="I132" s="56">
        <v>619</v>
      </c>
      <c r="J132" s="56">
        <v>1</v>
      </c>
      <c r="K132" s="56">
        <v>146</v>
      </c>
      <c r="L132" s="56">
        <v>0.63</v>
      </c>
      <c r="M132" s="56">
        <v>21.1477</v>
      </c>
      <c r="N132" s="56">
        <v>0.09</v>
      </c>
      <c r="O132" s="56">
        <v>53</v>
      </c>
      <c r="P132" s="56">
        <v>0</v>
      </c>
      <c r="R132" s="56">
        <f ca="1">IFERROR(__xludf.DUMMYFUNCTION("""COMPUTED_VALUE"""),1600)</f>
        <v>1600</v>
      </c>
      <c r="S132" s="56">
        <f ca="1">IFERROR(__xludf.DUMMYFUNCTION("""COMPUTED_VALUE"""),536)</f>
        <v>536</v>
      </c>
      <c r="T132" s="56">
        <f ca="1">IFERROR(__xludf.DUMMYFUNCTION("""COMPUTED_VALUE"""),773)</f>
        <v>773</v>
      </c>
      <c r="V132" s="56">
        <f t="shared" ca="1" si="6"/>
        <v>1068</v>
      </c>
      <c r="AD132" s="56">
        <v>3</v>
      </c>
      <c r="AF132" t="str">
        <f ca="1">IFERROR(__xludf.DUMMYFUNCTION("""COMPUTED_VALUE"""),"Semi private (2-5 desks)")</f>
        <v>Semi private (2-5 desks)</v>
      </c>
      <c r="AG132" t="str">
        <f ca="1">IFERROR(__xludf.DUMMYFUNCTION("""COMPUTED_VALUE"""),"No")</f>
        <v>No</v>
      </c>
      <c r="AH132" t="str">
        <f ca="1">IFERROR(__xludf.DUMMYFUNCTION("""COMPUTED_VALUE"""),"Yes")</f>
        <v>Yes</v>
      </c>
      <c r="AI132" t="str">
        <f ca="1">IFERROR(__xludf.DUMMYFUNCTION("""COMPUTED_VALUE"""),"Yes")</f>
        <v>Yes</v>
      </c>
      <c r="AJ132" t="str">
        <f ca="1">IFERROR(__xludf.DUMMYFUNCTION("""COMPUTED_VALUE"""),"Half")</f>
        <v>Half</v>
      </c>
      <c r="AK132">
        <v>0</v>
      </c>
      <c r="AL132"/>
      <c r="AM132" t="str">
        <f ca="1">IFERROR(__xludf.DUMMYFUNCTION("""COMPUTED_VALUE"""),"Wood")</f>
        <v>Wood</v>
      </c>
      <c r="AN132" t="str">
        <f ca="1">IFERROR(__xludf.DUMMYFUNCTION("""COMPUTED_VALUE"""),"Brown/black")</f>
        <v>Brown/black</v>
      </c>
      <c r="AO132" t="str">
        <f ca="1">IFERROR(__xludf.DUMMYFUNCTION("""COMPUTED_VALUE"""),"Office chair")</f>
        <v>Office chair</v>
      </c>
      <c r="AP132" t="str">
        <f ca="1">IFERROR(__xludf.DUMMYFUNCTION("""COMPUTED_VALUE"""),"Plastic")</f>
        <v>Plastic</v>
      </c>
      <c r="AQ132" t="str">
        <f ca="1">IFERROR(__xludf.DUMMYFUNCTION("""COMPUTED_VALUE"""),"Concrete")</f>
        <v>Concrete</v>
      </c>
      <c r="AR132" t="str">
        <f ca="1">IFERROR(__xludf.DUMMYFUNCTION("""COMPUTED_VALUE"""),"Grey")</f>
        <v>Grey</v>
      </c>
      <c r="AS132" t="str">
        <f ca="1">IFERROR(__xludf.DUMMYFUNCTION("""COMPUTED_VALUE"""),"White")</f>
        <v>White</v>
      </c>
      <c r="AT132" t="str">
        <f ca="1">IFERROR(__xludf.DUMMYFUNCTION("""COMPUTED_VALUE"""),"White/wood")</f>
        <v>White/wood</v>
      </c>
      <c r="AU132" t="str">
        <f ca="1">IFERROR(__xludf.DUMMYFUNCTION("""COMPUTED_VALUE"""),"NA")</f>
        <v>NA</v>
      </c>
      <c r="AV132" t="str">
        <f ca="1">IFERROR(__xludf.DUMMYFUNCTION("""COMPUTED_VALUE"""),"Yes")</f>
        <v>Yes</v>
      </c>
      <c r="AW132">
        <f ca="1">IFERROR(__xludf.DUMMYFUNCTION("""COMPUTED_VALUE"""),1600)</f>
        <v>1600</v>
      </c>
      <c r="AX132">
        <f ca="1">IFERROR(__xludf.DUMMYFUNCTION("""COMPUTED_VALUE"""),536)</f>
        <v>536</v>
      </c>
      <c r="AY132">
        <f ca="1">IFERROR(__xludf.DUMMYFUNCTION("""COMPUTED_VALUE"""),773)</f>
        <v>773</v>
      </c>
      <c r="AZ132" t="str">
        <f ca="1">IFERROR(__xludf.DUMMYFUNCTION("""COMPUTED_VALUE"""),"Yes")</f>
        <v>Yes</v>
      </c>
      <c r="BA132">
        <f ca="1">IFERROR(__xludf.DUMMYFUNCTION("""COMPUTED_VALUE"""),2.3)</f>
        <v>2.2999999999999998</v>
      </c>
      <c r="BB132">
        <f ca="1">IFERROR(__xludf.DUMMYFUNCTION("""COMPUTED_VALUE"""),0.6)</f>
        <v>0.6</v>
      </c>
      <c r="BC132" t="str">
        <f ca="1">IFERROR(__xludf.DUMMYFUNCTION("""COMPUTED_VALUE"""),"Yes")</f>
        <v>Yes</v>
      </c>
      <c r="BD132">
        <f ca="1">IFERROR(__xludf.DUMMYFUNCTION("""COMPUTED_VALUE"""),0.3)</f>
        <v>0.3</v>
      </c>
      <c r="BE132" t="str">
        <f ca="1">IFERROR(__xludf.DUMMYFUNCTION("""COMPUTED_VALUE"""),"N")</f>
        <v>N</v>
      </c>
      <c r="BF132">
        <f ca="1">IFERROR(__xludf.DUMMYFUNCTION("""COMPUTED_VALUE"""),0.7)</f>
        <v>0.7</v>
      </c>
      <c r="BG132" t="str">
        <f ca="1">IFERROR(__xludf.DUMMYFUNCTION("""COMPUTED_VALUE"""),"W")</f>
        <v>W</v>
      </c>
      <c r="BH132">
        <f ca="1">IFERROR(__xludf.DUMMYFUNCTION("""COMPUTED_VALUE"""),0.8)</f>
        <v>0.8</v>
      </c>
      <c r="BI132">
        <f ca="1">IFERROR(__xludf.DUMMYFUNCTION("""COMPUTED_VALUE"""),1.53)</f>
        <v>1.53</v>
      </c>
      <c r="BJ132">
        <f ca="1">IFERROR(__xludf.DUMMYFUNCTION("""COMPUTED_VALUE"""),0.76)</f>
        <v>0.76</v>
      </c>
      <c r="BK132" t="str">
        <f ca="1">IFERROR(__xludf.DUMMYFUNCTION("""COMPUTED_VALUE"""),"NA")</f>
        <v>NA</v>
      </c>
      <c r="BL132">
        <v>2</v>
      </c>
      <c r="BM132">
        <v>3</v>
      </c>
      <c r="BN132">
        <v>2</v>
      </c>
      <c r="BO132">
        <v>3</v>
      </c>
      <c r="BP132">
        <v>2</v>
      </c>
      <c r="BQ132">
        <v>5</v>
      </c>
      <c r="BR132">
        <v>3</v>
      </c>
      <c r="BS132">
        <v>1</v>
      </c>
      <c r="BT132">
        <v>2</v>
      </c>
      <c r="BU132">
        <v>3</v>
      </c>
      <c r="BV132">
        <v>3</v>
      </c>
      <c r="BW132">
        <v>3</v>
      </c>
      <c r="BX132">
        <v>2</v>
      </c>
      <c r="BY132">
        <v>3</v>
      </c>
      <c r="BZ132">
        <v>1</v>
      </c>
      <c r="CA132">
        <v>3</v>
      </c>
      <c r="CB132">
        <v>3</v>
      </c>
      <c r="CC132">
        <v>3</v>
      </c>
      <c r="CD132">
        <v>1</v>
      </c>
      <c r="CE132">
        <v>1</v>
      </c>
      <c r="CF132">
        <v>5</v>
      </c>
      <c r="CG132">
        <v>1</v>
      </c>
      <c r="CH132">
        <v>3</v>
      </c>
      <c r="CI132">
        <v>5</v>
      </c>
      <c r="CJ132">
        <v>5</v>
      </c>
      <c r="CK132">
        <v>5</v>
      </c>
      <c r="CL132">
        <v>5</v>
      </c>
      <c r="CM132">
        <v>1</v>
      </c>
      <c r="CN132" s="100" t="s">
        <v>223</v>
      </c>
      <c r="CO132">
        <v>2</v>
      </c>
      <c r="CP132">
        <v>4</v>
      </c>
      <c r="CQ132">
        <v>4</v>
      </c>
      <c r="CR132">
        <v>2</v>
      </c>
      <c r="CS132">
        <v>2</v>
      </c>
      <c r="CT132">
        <v>4</v>
      </c>
      <c r="CU132">
        <v>2</v>
      </c>
      <c r="CV132">
        <v>1</v>
      </c>
      <c r="CW132">
        <v>3</v>
      </c>
      <c r="CX132" s="100" t="s">
        <v>237</v>
      </c>
      <c r="CY132">
        <v>3</v>
      </c>
      <c r="CZ132">
        <v>1</v>
      </c>
      <c r="DA132">
        <v>2</v>
      </c>
      <c r="DB132">
        <v>1</v>
      </c>
      <c r="DC132">
        <v>3</v>
      </c>
      <c r="DD132">
        <v>3</v>
      </c>
      <c r="DE132">
        <v>4</v>
      </c>
      <c r="DF132">
        <v>2</v>
      </c>
      <c r="DG132">
        <v>1</v>
      </c>
      <c r="DH132" s="100" t="s">
        <v>223</v>
      </c>
      <c r="DI132" s="100" t="s">
        <v>223</v>
      </c>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row>
    <row r="133" spans="1:145" s="56" customFormat="1" ht="14">
      <c r="A133" s="85">
        <v>43871.516759259262</v>
      </c>
      <c r="B133" s="56" t="str">
        <f ca="1">IFERROR(__xludf.DUMMYFUNCTION("""COMPUTED_VALUE"""),"E00430")</f>
        <v>E00430</v>
      </c>
      <c r="C133" s="86">
        <f t="shared" si="7"/>
        <v>132</v>
      </c>
      <c r="D133" s="56" t="s">
        <v>139</v>
      </c>
      <c r="E133" s="56" t="s">
        <v>67</v>
      </c>
      <c r="F133" s="56">
        <v>12</v>
      </c>
      <c r="G133" s="56">
        <f ca="1">IFERROR(__xludf.DUMMYFUNCTION("""COMPUTED_VALUE"""),22)</f>
        <v>22</v>
      </c>
      <c r="H133" s="56">
        <f ca="1">IFERROR(__xludf.DUMMYFUNCTION("""COMPUTED_VALUE"""),35.2)</f>
        <v>35.200000000000003</v>
      </c>
      <c r="I133" s="56">
        <v>704</v>
      </c>
      <c r="J133" s="56">
        <v>0.9</v>
      </c>
      <c r="K133" s="56">
        <v>146</v>
      </c>
      <c r="L133" s="56">
        <v>0.4</v>
      </c>
      <c r="M133" s="56">
        <v>19.665800000000001</v>
      </c>
      <c r="N133" s="56">
        <v>0.03</v>
      </c>
      <c r="O133" s="56">
        <v>53.8</v>
      </c>
      <c r="P133" s="56">
        <v>0</v>
      </c>
      <c r="R133" s="56">
        <f ca="1">IFERROR(__xludf.DUMMYFUNCTION("""COMPUTED_VALUE"""),1152)</f>
        <v>1152</v>
      </c>
      <c r="S133" s="56">
        <f ca="1">IFERROR(__xludf.DUMMYFUNCTION("""COMPUTED_VALUE"""),1970)</f>
        <v>1970</v>
      </c>
      <c r="T133" s="56">
        <f ca="1">IFERROR(__xludf.DUMMYFUNCTION("""COMPUTED_VALUE"""),3170)</f>
        <v>3170</v>
      </c>
      <c r="V133" s="56">
        <f t="shared" ca="1" si="6"/>
        <v>1561</v>
      </c>
      <c r="AD133" s="56">
        <v>1</v>
      </c>
      <c r="AF133" t="str">
        <f ca="1">IFERROR(__xludf.DUMMYFUNCTION("""COMPUTED_VALUE"""),"Private")</f>
        <v>Private</v>
      </c>
      <c r="AG133" t="str">
        <f ca="1">IFERROR(__xludf.DUMMYFUNCTION("""COMPUTED_VALUE"""),"No")</f>
        <v>No</v>
      </c>
      <c r="AH133" t="str">
        <f ca="1">IFERROR(__xludf.DUMMYFUNCTION("""COMPUTED_VALUE"""),"No")</f>
        <v>No</v>
      </c>
      <c r="AI133" t="str">
        <f ca="1">IFERROR(__xludf.DUMMYFUNCTION("""COMPUTED_VALUE"""),"NA")</f>
        <v>NA</v>
      </c>
      <c r="AJ133" t="str">
        <f ca="1">IFERROR(__xludf.DUMMYFUNCTION("""COMPUTED_VALUE"""),"No")</f>
        <v>No</v>
      </c>
      <c r="AK133">
        <v>0</v>
      </c>
      <c r="AL133"/>
      <c r="AM133" t="str">
        <f ca="1">IFERROR(__xludf.DUMMYFUNCTION("""COMPUTED_VALUE"""),"Wood")</f>
        <v>Wood</v>
      </c>
      <c r="AN133" t="str">
        <f ca="1">IFERROR(__xludf.DUMMYFUNCTION("""COMPUTED_VALUE"""),"Brown")</f>
        <v>Brown</v>
      </c>
      <c r="AO133" t="str">
        <f ca="1">IFERROR(__xludf.DUMMYFUNCTION("""COMPUTED_VALUE"""),"Office chair")</f>
        <v>Office chair</v>
      </c>
      <c r="AP133" t="str">
        <f ca="1">IFERROR(__xludf.DUMMYFUNCTION("""COMPUTED_VALUE"""),"Mesh")</f>
        <v>Mesh</v>
      </c>
      <c r="AQ133" t="str">
        <f ca="1">IFERROR(__xludf.DUMMYFUNCTION("""COMPUTED_VALUE"""),"Concrete")</f>
        <v>Concrete</v>
      </c>
      <c r="AR133" t="str">
        <f ca="1">IFERROR(__xludf.DUMMYFUNCTION("""COMPUTED_VALUE"""),"Grey")</f>
        <v>Grey</v>
      </c>
      <c r="AS133" t="str">
        <f ca="1">IFERROR(__xludf.DUMMYFUNCTION("""COMPUTED_VALUE"""),"White")</f>
        <v>White</v>
      </c>
      <c r="AT133" t="str">
        <f ca="1">IFERROR(__xludf.DUMMYFUNCTION("""COMPUTED_VALUE"""),"Wood")</f>
        <v>Wood</v>
      </c>
      <c r="AU133" t="str">
        <f ca="1">IFERROR(__xludf.DUMMYFUNCTION("""COMPUTED_VALUE"""),"NA")</f>
        <v>NA</v>
      </c>
      <c r="AV133" t="str">
        <f ca="1">IFERROR(__xludf.DUMMYFUNCTION("""COMPUTED_VALUE"""),"Yes")</f>
        <v>Yes</v>
      </c>
      <c r="AW133">
        <f ca="1">IFERROR(__xludf.DUMMYFUNCTION("""COMPUTED_VALUE"""),1152)</f>
        <v>1152</v>
      </c>
      <c r="AX133">
        <f ca="1">IFERROR(__xludf.DUMMYFUNCTION("""COMPUTED_VALUE"""),1970)</f>
        <v>1970</v>
      </c>
      <c r="AY133">
        <f ca="1">IFERROR(__xludf.DUMMYFUNCTION("""COMPUTED_VALUE"""),3170)</f>
        <v>3170</v>
      </c>
      <c r="AZ133" t="str">
        <f ca="1">IFERROR(__xludf.DUMMYFUNCTION("""COMPUTED_VALUE"""),"No")</f>
        <v>No</v>
      </c>
      <c r="BA133">
        <f ca="1">IFERROR(__xludf.DUMMYFUNCTION("""COMPUTED_VALUE"""),2.5)</f>
        <v>2.5</v>
      </c>
      <c r="BB133" t="str">
        <f ca="1">IFERROR(__xludf.DUMMYFUNCTION("""COMPUTED_VALUE"""),"NA")</f>
        <v>NA</v>
      </c>
      <c r="BC133" t="str">
        <f ca="1">IFERROR(__xludf.DUMMYFUNCTION("""COMPUTED_VALUE"""),"No")</f>
        <v>No</v>
      </c>
      <c r="BD133">
        <f ca="1">IFERROR(__xludf.DUMMYFUNCTION("""COMPUTED_VALUE"""),0.3)</f>
        <v>0.3</v>
      </c>
      <c r="BE133" t="str">
        <f ca="1">IFERROR(__xludf.DUMMYFUNCTION("""COMPUTED_VALUE"""),"NW")</f>
        <v>NW</v>
      </c>
      <c r="BF133" t="str">
        <f ca="1">IFERROR(__xludf.DUMMYFUNCTION("""COMPUTED_VALUE"""),"NA")</f>
        <v>NA</v>
      </c>
      <c r="BG133" t="str">
        <f ca="1">IFERROR(__xludf.DUMMYFUNCTION("""COMPUTED_VALUE"""),"NA")</f>
        <v>NA</v>
      </c>
      <c r="BH133">
        <f ca="1">IFERROR(__xludf.DUMMYFUNCTION("""COMPUTED_VALUE"""),2.6)</f>
        <v>2.6</v>
      </c>
      <c r="BI133">
        <f ca="1">IFERROR(__xludf.DUMMYFUNCTION("""COMPUTED_VALUE"""),0.75)</f>
        <v>0.75</v>
      </c>
      <c r="BJ133">
        <f ca="1">IFERROR(__xludf.DUMMYFUNCTION("""COMPUTED_VALUE"""),0.74)</f>
        <v>0.74</v>
      </c>
      <c r="BK133" t="str">
        <f ca="1">IFERROR(__xludf.DUMMYFUNCTION("""COMPUTED_VALUE"""),"NA")</f>
        <v>NA</v>
      </c>
      <c r="BL133">
        <v>2</v>
      </c>
      <c r="BM133">
        <v>3</v>
      </c>
      <c r="BN133">
        <v>4</v>
      </c>
      <c r="BO133">
        <v>2</v>
      </c>
      <c r="BP133">
        <v>2</v>
      </c>
      <c r="BQ133">
        <v>6</v>
      </c>
      <c r="BR133">
        <v>3</v>
      </c>
      <c r="BS133">
        <v>3</v>
      </c>
      <c r="BT133">
        <v>3</v>
      </c>
      <c r="BU133">
        <v>4</v>
      </c>
      <c r="BV133">
        <v>6</v>
      </c>
      <c r="BW133">
        <v>3</v>
      </c>
      <c r="BX133">
        <v>3</v>
      </c>
      <c r="BY133">
        <v>3</v>
      </c>
      <c r="BZ133">
        <v>1</v>
      </c>
      <c r="CA133">
        <v>3</v>
      </c>
      <c r="CB133">
        <v>1</v>
      </c>
      <c r="CC133">
        <v>5</v>
      </c>
      <c r="CD133">
        <v>1</v>
      </c>
      <c r="CE133">
        <v>1</v>
      </c>
      <c r="CF133">
        <v>3</v>
      </c>
      <c r="CG133">
        <v>1</v>
      </c>
      <c r="CH133">
        <v>1</v>
      </c>
      <c r="CI133">
        <v>6</v>
      </c>
      <c r="CJ133">
        <v>2</v>
      </c>
      <c r="CK133">
        <v>6</v>
      </c>
      <c r="CL133">
        <v>2</v>
      </c>
      <c r="CM133">
        <v>1</v>
      </c>
      <c r="CN133" s="100" t="s">
        <v>223</v>
      </c>
      <c r="CO133">
        <v>1</v>
      </c>
      <c r="CP133">
        <v>3</v>
      </c>
      <c r="CQ133">
        <v>3</v>
      </c>
      <c r="CR133">
        <v>1</v>
      </c>
      <c r="CS133">
        <v>2</v>
      </c>
      <c r="CT133">
        <v>7</v>
      </c>
      <c r="CU133">
        <v>5</v>
      </c>
      <c r="CV133">
        <v>2</v>
      </c>
      <c r="CW133">
        <v>2</v>
      </c>
      <c r="CX133" s="100" t="s">
        <v>257</v>
      </c>
      <c r="CY133">
        <v>6</v>
      </c>
      <c r="CZ133">
        <v>1</v>
      </c>
      <c r="DA133">
        <v>3</v>
      </c>
      <c r="DB133">
        <v>2</v>
      </c>
      <c r="DC133">
        <v>6</v>
      </c>
      <c r="DD133">
        <v>3</v>
      </c>
      <c r="DE133">
        <v>4</v>
      </c>
      <c r="DF133">
        <v>3</v>
      </c>
      <c r="DG133">
        <v>1</v>
      </c>
      <c r="DH133" s="100" t="s">
        <v>223</v>
      </c>
      <c r="DI133" s="100" t="s">
        <v>223</v>
      </c>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row>
    <row r="134" spans="1:145" s="56" customFormat="1" ht="15" customHeight="1">
      <c r="A134" s="85">
        <v>43871.524375000001</v>
      </c>
      <c r="B134" s="56" t="str">
        <f ca="1">IFERROR(__xludf.DUMMYFUNCTION("""COMPUTED_VALUE"""),"E00415")</f>
        <v>E00415</v>
      </c>
      <c r="C134" s="86">
        <f t="shared" si="7"/>
        <v>133</v>
      </c>
      <c r="D134" s="56" t="s">
        <v>139</v>
      </c>
      <c r="E134" s="56" t="s">
        <v>67</v>
      </c>
      <c r="F134" s="56">
        <v>12</v>
      </c>
      <c r="G134" s="56">
        <f ca="1">IFERROR(__xludf.DUMMYFUNCTION("""COMPUTED_VALUE"""),24.2)</f>
        <v>24.2</v>
      </c>
      <c r="H134" s="56">
        <f ca="1">IFERROR(__xludf.DUMMYFUNCTION("""COMPUTED_VALUE"""),34.6)</f>
        <v>34.6</v>
      </c>
      <c r="I134" s="56">
        <v>707</v>
      </c>
      <c r="J134" s="56">
        <v>1</v>
      </c>
      <c r="K134" s="56">
        <v>147</v>
      </c>
      <c r="L134" s="56">
        <v>0.7</v>
      </c>
      <c r="M134" s="56">
        <v>24.456700000000001</v>
      </c>
      <c r="N134" s="56">
        <v>0.01</v>
      </c>
      <c r="O134" s="56">
        <v>45.7</v>
      </c>
      <c r="P134" s="56">
        <v>0</v>
      </c>
      <c r="R134" s="56">
        <f ca="1">IFERROR(__xludf.DUMMYFUNCTION("""COMPUTED_VALUE"""),458)</f>
        <v>458</v>
      </c>
      <c r="S134" s="56">
        <f ca="1">IFERROR(__xludf.DUMMYFUNCTION("""COMPUTED_VALUE"""),426)</f>
        <v>426</v>
      </c>
      <c r="T134" s="56">
        <f ca="1">IFERROR(__xludf.DUMMYFUNCTION("""COMPUTED_VALUE"""),740)</f>
        <v>740</v>
      </c>
      <c r="V134" s="56">
        <f t="shared" ca="1" si="6"/>
        <v>442</v>
      </c>
      <c r="AD134" s="56">
        <v>6</v>
      </c>
      <c r="AF134" t="str">
        <f ca="1">IFERROR(__xludf.DUMMYFUNCTION("""COMPUTED_VALUE"""),"Private")</f>
        <v>Private</v>
      </c>
      <c r="AG134" t="str">
        <f ca="1">IFERROR(__xludf.DUMMYFUNCTION("""COMPUTED_VALUE"""),"No")</f>
        <v>No</v>
      </c>
      <c r="AH134" t="str">
        <f ca="1">IFERROR(__xludf.DUMMYFUNCTION("""COMPUTED_VALUE"""),"Yes")</f>
        <v>Yes</v>
      </c>
      <c r="AI134" t="str">
        <f ca="1">IFERROR(__xludf.DUMMYFUNCTION("""COMPUTED_VALUE"""),"Yes")</f>
        <v>Yes</v>
      </c>
      <c r="AJ134" t="str">
        <f ca="1">IFERROR(__xludf.DUMMYFUNCTION("""COMPUTED_VALUE"""),"Half")</f>
        <v>Half</v>
      </c>
      <c r="AK134">
        <v>0</v>
      </c>
      <c r="AL134"/>
      <c r="AM134" t="str">
        <f ca="1">IFERROR(__xludf.DUMMYFUNCTION("""COMPUTED_VALUE"""),"Wood")</f>
        <v>Wood</v>
      </c>
      <c r="AN134" t="str">
        <f ca="1">IFERROR(__xludf.DUMMYFUNCTION("""COMPUTED_VALUE"""),"Brown")</f>
        <v>Brown</v>
      </c>
      <c r="AO134" t="str">
        <f ca="1">IFERROR(__xludf.DUMMYFUNCTION("""COMPUTED_VALUE"""),"Office chair")</f>
        <v>Office chair</v>
      </c>
      <c r="AP134" t="str">
        <f ca="1">IFERROR(__xludf.DUMMYFUNCTION("""COMPUTED_VALUE"""),"Clotj")</f>
        <v>Clotj</v>
      </c>
      <c r="AQ134" t="str">
        <f ca="1">IFERROR(__xludf.DUMMYFUNCTION("""COMPUTED_VALUE"""),"Concrete")</f>
        <v>Concrete</v>
      </c>
      <c r="AR134" t="str">
        <f ca="1">IFERROR(__xludf.DUMMYFUNCTION("""COMPUTED_VALUE"""),"Grey")</f>
        <v>Grey</v>
      </c>
      <c r="AS134" t="str">
        <f ca="1">IFERROR(__xludf.DUMMYFUNCTION("""COMPUTED_VALUE"""),"White")</f>
        <v>White</v>
      </c>
      <c r="AT134" t="str">
        <f ca="1">IFERROR(__xludf.DUMMYFUNCTION("""COMPUTED_VALUE"""),"Wood")</f>
        <v>Wood</v>
      </c>
      <c r="AU134" t="str">
        <f ca="1">IFERROR(__xludf.DUMMYFUNCTION("""COMPUTED_VALUE"""),"NA")</f>
        <v>NA</v>
      </c>
      <c r="AV134" t="str">
        <f ca="1">IFERROR(__xludf.DUMMYFUNCTION("""COMPUTED_VALUE"""),"No")</f>
        <v>No</v>
      </c>
      <c r="AW134">
        <f ca="1">IFERROR(__xludf.DUMMYFUNCTION("""COMPUTED_VALUE"""),458)</f>
        <v>458</v>
      </c>
      <c r="AX134">
        <f ca="1">IFERROR(__xludf.DUMMYFUNCTION("""COMPUTED_VALUE"""),426)</f>
        <v>426</v>
      </c>
      <c r="AY134">
        <f ca="1">IFERROR(__xludf.DUMMYFUNCTION("""COMPUTED_VALUE"""),740)</f>
        <v>740</v>
      </c>
      <c r="AZ134" t="str">
        <f ca="1">IFERROR(__xludf.DUMMYFUNCTION("""COMPUTED_VALUE"""),"No")</f>
        <v>No</v>
      </c>
      <c r="BA134">
        <f ca="1">IFERROR(__xludf.DUMMYFUNCTION("""COMPUTED_VALUE"""),2.5)</f>
        <v>2.5</v>
      </c>
      <c r="BB134" t="str">
        <f ca="1">IFERROR(__xludf.DUMMYFUNCTION("""COMPUTED_VALUE"""),"NA")</f>
        <v>NA</v>
      </c>
      <c r="BC134" t="str">
        <f ca="1">IFERROR(__xludf.DUMMYFUNCTION("""COMPUTED_VALUE"""),"No")</f>
        <v>No</v>
      </c>
      <c r="BD134">
        <f ca="1">IFERROR(__xludf.DUMMYFUNCTION("""COMPUTED_VALUE"""),0.4)</f>
        <v>0.4</v>
      </c>
      <c r="BE134" t="str">
        <f ca="1">IFERROR(__xludf.DUMMYFUNCTION("""COMPUTED_VALUE"""),"SE")</f>
        <v>SE</v>
      </c>
      <c r="BF134" t="str">
        <f ca="1">IFERROR(__xludf.DUMMYFUNCTION("""COMPUTED_VALUE"""),"NA")</f>
        <v>NA</v>
      </c>
      <c r="BG134" t="str">
        <f ca="1">IFERROR(__xludf.DUMMYFUNCTION("""COMPUTED_VALUE"""),"NA")</f>
        <v>NA</v>
      </c>
      <c r="BH134">
        <f ca="1">IFERROR(__xludf.DUMMYFUNCTION("""COMPUTED_VALUE"""),1.84)</f>
        <v>1.84</v>
      </c>
      <c r="BI134">
        <f ca="1">IFERROR(__xludf.DUMMYFUNCTION("""COMPUTED_VALUE"""),0.92)</f>
        <v>0.92</v>
      </c>
      <c r="BJ134">
        <f ca="1">IFERROR(__xludf.DUMMYFUNCTION("""COMPUTED_VALUE"""),0.75)</f>
        <v>0.75</v>
      </c>
      <c r="BK134" t="str">
        <f ca="1">IFERROR(__xludf.DUMMYFUNCTION("""COMPUTED_VALUE"""),"NA")</f>
        <v>NA</v>
      </c>
      <c r="BL134">
        <v>2</v>
      </c>
      <c r="BM134">
        <v>4</v>
      </c>
      <c r="BN134">
        <v>4</v>
      </c>
      <c r="BO134">
        <v>2</v>
      </c>
      <c r="BP134">
        <v>1</v>
      </c>
      <c r="BQ134">
        <v>1</v>
      </c>
      <c r="BR134">
        <v>1</v>
      </c>
      <c r="BS134">
        <v>1</v>
      </c>
      <c r="BT134">
        <v>2</v>
      </c>
      <c r="BU134">
        <v>3</v>
      </c>
      <c r="BV134">
        <v>6</v>
      </c>
      <c r="BW134">
        <v>1</v>
      </c>
      <c r="BX134">
        <v>1</v>
      </c>
      <c r="BY134">
        <v>2</v>
      </c>
      <c r="BZ134">
        <v>1</v>
      </c>
      <c r="CA134">
        <v>7</v>
      </c>
      <c r="CB134">
        <v>7</v>
      </c>
      <c r="CC134">
        <v>7</v>
      </c>
      <c r="CD134">
        <v>2</v>
      </c>
      <c r="CE134">
        <v>1</v>
      </c>
      <c r="CF134">
        <v>7</v>
      </c>
      <c r="CG134">
        <v>2</v>
      </c>
      <c r="CH134">
        <v>3</v>
      </c>
      <c r="CI134">
        <v>7</v>
      </c>
      <c r="CJ134">
        <v>3</v>
      </c>
      <c r="CK134">
        <v>7</v>
      </c>
      <c r="CL134">
        <v>2</v>
      </c>
      <c r="CM134">
        <v>5</v>
      </c>
      <c r="CN134" s="100" t="s">
        <v>563</v>
      </c>
      <c r="CO134">
        <v>1</v>
      </c>
      <c r="CP134">
        <v>7</v>
      </c>
      <c r="CQ134">
        <v>7</v>
      </c>
      <c r="CR134">
        <v>1</v>
      </c>
      <c r="CS134">
        <v>3</v>
      </c>
      <c r="CT134">
        <v>7</v>
      </c>
      <c r="CU134">
        <v>2</v>
      </c>
      <c r="CV134">
        <v>3</v>
      </c>
      <c r="CW134">
        <v>3</v>
      </c>
      <c r="CX134" s="100" t="s">
        <v>257</v>
      </c>
      <c r="CY134">
        <v>2</v>
      </c>
      <c r="CZ134">
        <v>1</v>
      </c>
      <c r="DA134">
        <v>3</v>
      </c>
      <c r="DB134">
        <v>3</v>
      </c>
      <c r="DC134">
        <v>4</v>
      </c>
      <c r="DD134">
        <v>3</v>
      </c>
      <c r="DE134">
        <v>5</v>
      </c>
      <c r="DF134">
        <v>2</v>
      </c>
      <c r="DG134">
        <v>5</v>
      </c>
      <c r="DH134" s="100" t="s">
        <v>223</v>
      </c>
      <c r="DI134" s="100" t="s">
        <v>223</v>
      </c>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row>
    <row r="135" spans="1:145" s="56" customFormat="1" ht="14">
      <c r="A135" s="85">
        <v>43871.55878472222</v>
      </c>
      <c r="B135" s="56" t="str">
        <f ca="1">IFERROR(__xludf.DUMMYFUNCTION("""COMPUTED_VALUE"""),"E00100")</f>
        <v>E00100</v>
      </c>
      <c r="C135" s="86">
        <f t="shared" si="7"/>
        <v>134</v>
      </c>
      <c r="D135" s="56" t="s">
        <v>139</v>
      </c>
      <c r="E135" s="56" t="s">
        <v>67</v>
      </c>
      <c r="F135" s="56">
        <v>12</v>
      </c>
      <c r="G135" s="56">
        <f ca="1">IFERROR(__xludf.DUMMYFUNCTION("""COMPUTED_VALUE"""),18.7)</f>
        <v>18.7</v>
      </c>
      <c r="H135" s="56">
        <f ca="1">IFERROR(__xludf.DUMMYFUNCTION("""COMPUTED_VALUE"""),36.2)</f>
        <v>36.200000000000003</v>
      </c>
      <c r="I135" s="56">
        <v>660</v>
      </c>
      <c r="J135" s="56">
        <v>0.6</v>
      </c>
      <c r="K135" s="56">
        <v>147</v>
      </c>
      <c r="L135" s="56">
        <v>0.58000000000000007</v>
      </c>
      <c r="M135" s="56">
        <v>19.7867</v>
      </c>
      <c r="N135" s="56">
        <v>0.04</v>
      </c>
      <c r="O135" s="56">
        <v>63</v>
      </c>
      <c r="P135" s="56">
        <v>0</v>
      </c>
      <c r="R135" s="56">
        <f ca="1">IFERROR(__xludf.DUMMYFUNCTION("""COMPUTED_VALUE"""),169.2)</f>
        <v>169.2</v>
      </c>
      <c r="S135" s="56">
        <f ca="1">IFERROR(__xludf.DUMMYFUNCTION("""COMPUTED_VALUE"""),128)</f>
        <v>128</v>
      </c>
      <c r="T135" s="56">
        <f ca="1">IFERROR(__xludf.DUMMYFUNCTION("""COMPUTED_VALUE"""),93.9)</f>
        <v>93.9</v>
      </c>
      <c r="V135" s="56">
        <f t="shared" ca="1" si="6"/>
        <v>148.6</v>
      </c>
      <c r="AD135" s="56">
        <v>3</v>
      </c>
      <c r="AF135" t="str">
        <f ca="1">IFERROR(__xludf.DUMMYFUNCTION("""COMPUTED_VALUE"""),"Open plan")</f>
        <v>Open plan</v>
      </c>
      <c r="AG135" t="str">
        <f ca="1">IFERROR(__xludf.DUMMYFUNCTION("""COMPUTED_VALUE"""),"No")</f>
        <v>No</v>
      </c>
      <c r="AH135" t="str">
        <f ca="1">IFERROR(__xludf.DUMMYFUNCTION("""COMPUTED_VALUE"""),"No")</f>
        <v>No</v>
      </c>
      <c r="AI135" t="str">
        <f ca="1">IFERROR(__xludf.DUMMYFUNCTION("""COMPUTED_VALUE"""),"NA")</f>
        <v>NA</v>
      </c>
      <c r="AJ135" t="str">
        <f ca="1">IFERROR(__xludf.DUMMYFUNCTION("""COMPUTED_VALUE"""),"NA")</f>
        <v>NA</v>
      </c>
      <c r="AK135">
        <v>0</v>
      </c>
      <c r="AL135"/>
      <c r="AM135" t="str">
        <f ca="1">IFERROR(__xludf.DUMMYFUNCTION("""COMPUTED_VALUE"""),"Wood")</f>
        <v>Wood</v>
      </c>
      <c r="AN135" t="str">
        <f ca="1">IFERROR(__xludf.DUMMYFUNCTION("""COMPUTED_VALUE"""),"Brown")</f>
        <v>Brown</v>
      </c>
      <c r="AO135" t="str">
        <f ca="1">IFERROR(__xludf.DUMMYFUNCTION("""COMPUTED_VALUE"""),"stool")</f>
        <v>stool</v>
      </c>
      <c r="AP135" t="str">
        <f ca="1">IFERROR(__xludf.DUMMYFUNCTION("""COMPUTED_VALUE"""),"wood")</f>
        <v>wood</v>
      </c>
      <c r="AQ135" t="str">
        <f ca="1">IFERROR(__xludf.DUMMYFUNCTION("""COMPUTED_VALUE"""),"Concrete")</f>
        <v>Concrete</v>
      </c>
      <c r="AR135" t="str">
        <f ca="1">IFERROR(__xludf.DUMMYFUNCTION("""COMPUTED_VALUE"""),"grey")</f>
        <v>grey</v>
      </c>
      <c r="AS135" t="str">
        <f ca="1">IFERROR(__xludf.DUMMYFUNCTION("""COMPUTED_VALUE"""),"white")</f>
        <v>white</v>
      </c>
      <c r="AT135" t="str">
        <f ca="1">IFERROR(__xludf.DUMMYFUNCTION("""COMPUTED_VALUE"""),"white")</f>
        <v>white</v>
      </c>
      <c r="AU135" t="str">
        <f ca="1">IFERROR(__xludf.DUMMYFUNCTION("""COMPUTED_VALUE"""),"NA")</f>
        <v>NA</v>
      </c>
      <c r="AV135" t="str">
        <f ca="1">IFERROR(__xludf.DUMMYFUNCTION("""COMPUTED_VALUE"""),"No")</f>
        <v>No</v>
      </c>
      <c r="AW135">
        <f ca="1">IFERROR(__xludf.DUMMYFUNCTION("""COMPUTED_VALUE"""),169.2)</f>
        <v>169.2</v>
      </c>
      <c r="AX135">
        <f ca="1">IFERROR(__xludf.DUMMYFUNCTION("""COMPUTED_VALUE"""),128)</f>
        <v>128</v>
      </c>
      <c r="AY135">
        <f ca="1">IFERROR(__xludf.DUMMYFUNCTION("""COMPUTED_VALUE"""),93.9)</f>
        <v>93.9</v>
      </c>
      <c r="AZ135" t="str">
        <f ca="1">IFERROR(__xludf.DUMMYFUNCTION("""COMPUTED_VALUE"""),"No")</f>
        <v>No</v>
      </c>
      <c r="BA135">
        <f ca="1">IFERROR(__xludf.DUMMYFUNCTION("""COMPUTED_VALUE"""),2.25)</f>
        <v>2.25</v>
      </c>
      <c r="BB135" t="str">
        <f ca="1">IFERROR(__xludf.DUMMYFUNCTION("""COMPUTED_VALUE"""),"NA")</f>
        <v>NA</v>
      </c>
      <c r="BC135" t="str">
        <f ca="1">IFERROR(__xludf.DUMMYFUNCTION("""COMPUTED_VALUE"""),"NA")</f>
        <v>NA</v>
      </c>
      <c r="BD135" t="str">
        <f ca="1">IFERROR(__xludf.DUMMYFUNCTION("""COMPUTED_VALUE"""),"NA")</f>
        <v>NA</v>
      </c>
      <c r="BE135" t="str">
        <f ca="1">IFERROR(__xludf.DUMMYFUNCTION("""COMPUTED_VALUE"""),"NA")</f>
        <v>NA</v>
      </c>
      <c r="BF135" t="str">
        <f ca="1">IFERROR(__xludf.DUMMYFUNCTION("""COMPUTED_VALUE"""),"NA")</f>
        <v>NA</v>
      </c>
      <c r="BG135" t="str">
        <f ca="1">IFERROR(__xludf.DUMMYFUNCTION("""COMPUTED_VALUE"""),"NA")</f>
        <v>NA</v>
      </c>
      <c r="BH135">
        <f ca="1">IFERROR(__xludf.DUMMYFUNCTION("""COMPUTED_VALUE"""),1.8)</f>
        <v>1.8</v>
      </c>
      <c r="BI135">
        <f ca="1">IFERROR(__xludf.DUMMYFUNCTION("""COMPUTED_VALUE"""),0.67)</f>
        <v>0.67</v>
      </c>
      <c r="BJ135">
        <f ca="1">IFERROR(__xludf.DUMMYFUNCTION("""COMPUTED_VALUE"""),0.76)</f>
        <v>0.76</v>
      </c>
      <c r="BK135" t="str">
        <f ca="1">IFERROR(__xludf.DUMMYFUNCTION("""COMPUTED_VALUE"""),"NA")</f>
        <v>NA</v>
      </c>
      <c r="BL135">
        <v>1</v>
      </c>
      <c r="BM135">
        <v>2</v>
      </c>
      <c r="BN135">
        <v>4</v>
      </c>
      <c r="BO135">
        <v>3</v>
      </c>
      <c r="BP135">
        <v>3</v>
      </c>
      <c r="BQ135">
        <v>6</v>
      </c>
      <c r="BR135">
        <v>6</v>
      </c>
      <c r="BS135">
        <v>1</v>
      </c>
      <c r="BT135">
        <v>3</v>
      </c>
      <c r="BU135">
        <v>6</v>
      </c>
      <c r="BV135">
        <v>6</v>
      </c>
      <c r="BW135">
        <v>6</v>
      </c>
      <c r="BX135">
        <v>4</v>
      </c>
      <c r="BY135">
        <v>3</v>
      </c>
      <c r="BZ135">
        <v>1</v>
      </c>
      <c r="CA135">
        <v>6</v>
      </c>
      <c r="CB135">
        <v>6</v>
      </c>
      <c r="CC135">
        <v>6</v>
      </c>
      <c r="CD135">
        <v>2</v>
      </c>
      <c r="CE135">
        <v>1</v>
      </c>
      <c r="CF135">
        <v>6</v>
      </c>
      <c r="CG135">
        <v>1</v>
      </c>
      <c r="CH135">
        <v>1</v>
      </c>
      <c r="CI135">
        <v>5</v>
      </c>
      <c r="CJ135">
        <v>7</v>
      </c>
      <c r="CK135">
        <v>6</v>
      </c>
      <c r="CL135">
        <v>6</v>
      </c>
      <c r="CM135">
        <v>1</v>
      </c>
      <c r="CN135" s="100" t="s">
        <v>223</v>
      </c>
      <c r="CO135">
        <v>1</v>
      </c>
      <c r="CP135">
        <v>6</v>
      </c>
      <c r="CQ135">
        <v>2</v>
      </c>
      <c r="CR135">
        <v>1</v>
      </c>
      <c r="CS135">
        <v>1</v>
      </c>
      <c r="CT135">
        <v>6</v>
      </c>
      <c r="CU135">
        <v>6</v>
      </c>
      <c r="CV135">
        <v>3</v>
      </c>
      <c r="CW135">
        <v>1</v>
      </c>
      <c r="CX135" s="100" t="s">
        <v>235</v>
      </c>
      <c r="CY135">
        <v>6</v>
      </c>
      <c r="CZ135">
        <v>1</v>
      </c>
      <c r="DA135">
        <v>3</v>
      </c>
      <c r="DB135">
        <v>3</v>
      </c>
      <c r="DC135">
        <v>6</v>
      </c>
      <c r="DD135">
        <v>2</v>
      </c>
      <c r="DE135">
        <v>5</v>
      </c>
      <c r="DF135">
        <v>6</v>
      </c>
      <c r="DG135">
        <v>5</v>
      </c>
      <c r="DH135" s="100" t="s">
        <v>223</v>
      </c>
      <c r="DI135" s="100" t="s">
        <v>223</v>
      </c>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row>
    <row r="136" spans="1:145" s="56" customFormat="1" ht="18" customHeight="1">
      <c r="A136" s="85">
        <v>43872.430312500001</v>
      </c>
      <c r="B136" s="56" t="str">
        <f ca="1">IFERROR(__xludf.DUMMYFUNCTION("""COMPUTED_VALUE"""),"E00445")</f>
        <v>E00445</v>
      </c>
      <c r="C136" s="86">
        <f t="shared" si="7"/>
        <v>135</v>
      </c>
      <c r="D136" s="56" t="s">
        <v>139</v>
      </c>
      <c r="E136" s="56" t="s">
        <v>67</v>
      </c>
      <c r="F136" s="56">
        <v>12</v>
      </c>
      <c r="G136" s="56">
        <f ca="1">IFERROR(__xludf.DUMMYFUNCTION("""COMPUTED_VALUE"""),20.7)</f>
        <v>20.7</v>
      </c>
      <c r="H136" s="56">
        <f ca="1">IFERROR(__xludf.DUMMYFUNCTION("""COMPUTED_VALUE"""),36.2)</f>
        <v>36.200000000000003</v>
      </c>
      <c r="I136" s="56">
        <v>605</v>
      </c>
      <c r="J136" s="56">
        <v>0.9</v>
      </c>
      <c r="K136" s="56">
        <v>140</v>
      </c>
      <c r="L136" s="56">
        <v>0.5</v>
      </c>
      <c r="M136" s="56">
        <v>20.9008</v>
      </c>
      <c r="N136" s="56">
        <v>0.04</v>
      </c>
      <c r="O136" s="56">
        <v>47.5</v>
      </c>
      <c r="P136" s="56">
        <v>0</v>
      </c>
      <c r="R136" s="56">
        <f ca="1">IFERROR(__xludf.DUMMYFUNCTION("""COMPUTED_VALUE"""),156)</f>
        <v>156</v>
      </c>
      <c r="S136" s="56">
        <f ca="1">IFERROR(__xludf.DUMMYFUNCTION("""COMPUTED_VALUE"""),133)</f>
        <v>133</v>
      </c>
      <c r="T136" s="56">
        <f ca="1">IFERROR(__xludf.DUMMYFUNCTION("""COMPUTED_VALUE"""),142)</f>
        <v>142</v>
      </c>
      <c r="V136" s="56">
        <f t="shared" ca="1" si="6"/>
        <v>144.5</v>
      </c>
      <c r="AD136" s="56">
        <v>4</v>
      </c>
      <c r="AF136" t="str">
        <f ca="1">IFERROR(__xludf.DUMMYFUNCTION("""COMPUTED_VALUE"""),"Private")</f>
        <v>Private</v>
      </c>
      <c r="AG136" t="str">
        <f ca="1">IFERROR(__xludf.DUMMYFUNCTION("""COMPUTED_VALUE"""),"No")</f>
        <v>No</v>
      </c>
      <c r="AH136" t="str">
        <f ca="1">IFERROR(__xludf.DUMMYFUNCTION("""COMPUTED_VALUE"""),"Yes")</f>
        <v>Yes</v>
      </c>
      <c r="AI136" t="str">
        <f ca="1">IFERROR(__xludf.DUMMYFUNCTION("""COMPUTED_VALUE"""),"Yes")</f>
        <v>Yes</v>
      </c>
      <c r="AJ136" t="str">
        <f ca="1">IFERROR(__xludf.DUMMYFUNCTION("""COMPUTED_VALUE"""),"half")</f>
        <v>half</v>
      </c>
      <c r="AK136">
        <v>0</v>
      </c>
      <c r="AL136"/>
      <c r="AM136" t="str">
        <f ca="1">IFERROR(__xludf.DUMMYFUNCTION("""COMPUTED_VALUE"""),"wood")</f>
        <v>wood</v>
      </c>
      <c r="AN136" t="str">
        <f ca="1">IFERROR(__xludf.DUMMYFUNCTION("""COMPUTED_VALUE"""),"Black")</f>
        <v>Black</v>
      </c>
      <c r="AO136" t="str">
        <f ca="1">IFERROR(__xludf.DUMMYFUNCTION("""COMPUTED_VALUE"""),"Standing")</f>
        <v>Standing</v>
      </c>
      <c r="AP136" t="str">
        <f ca="1">IFERROR(__xludf.DUMMYFUNCTION("""COMPUTED_VALUE"""),"NA")</f>
        <v>NA</v>
      </c>
      <c r="AQ136" t="str">
        <f ca="1">IFERROR(__xludf.DUMMYFUNCTION("""COMPUTED_VALUE"""),"Carpet")</f>
        <v>Carpet</v>
      </c>
      <c r="AR136" t="str">
        <f ca="1">IFERROR(__xludf.DUMMYFUNCTION("""COMPUTED_VALUE"""),"grey")</f>
        <v>grey</v>
      </c>
      <c r="AS136" t="str">
        <f ca="1">IFERROR(__xludf.DUMMYFUNCTION("""COMPUTED_VALUE"""),"green+grey")</f>
        <v>green+grey</v>
      </c>
      <c r="AT136" t="str">
        <f ca="1">IFERROR(__xludf.DUMMYFUNCTION("""COMPUTED_VALUE"""),"white")</f>
        <v>white</v>
      </c>
      <c r="AU136" t="str">
        <f ca="1">IFERROR(__xludf.DUMMYFUNCTION("""COMPUTED_VALUE"""),"NA")</f>
        <v>NA</v>
      </c>
      <c r="AV136" t="str">
        <f ca="1">IFERROR(__xludf.DUMMYFUNCTION("""COMPUTED_VALUE"""),"Yes")</f>
        <v>Yes</v>
      </c>
      <c r="AW136">
        <f ca="1">IFERROR(__xludf.DUMMYFUNCTION("""COMPUTED_VALUE"""),156)</f>
        <v>156</v>
      </c>
      <c r="AX136">
        <f ca="1">IFERROR(__xludf.DUMMYFUNCTION("""COMPUTED_VALUE"""),133)</f>
        <v>133</v>
      </c>
      <c r="AY136">
        <f ca="1">IFERROR(__xludf.DUMMYFUNCTION("""COMPUTED_VALUE"""),142)</f>
        <v>142</v>
      </c>
      <c r="AZ136" t="str">
        <f ca="1">IFERROR(__xludf.DUMMYFUNCTION("""COMPUTED_VALUE"""),"No")</f>
        <v>No</v>
      </c>
      <c r="BA136">
        <f ca="1">IFERROR(__xludf.DUMMYFUNCTION("""COMPUTED_VALUE"""),3.12)</f>
        <v>3.12</v>
      </c>
      <c r="BB136" t="str">
        <f ca="1">IFERROR(__xludf.DUMMYFUNCTION("""COMPUTED_VALUE"""),"NA")</f>
        <v>NA</v>
      </c>
      <c r="BC136" t="str">
        <f ca="1">IFERROR(__xludf.DUMMYFUNCTION("""COMPUTED_VALUE"""),"No")</f>
        <v>No</v>
      </c>
      <c r="BD136">
        <f ca="1">IFERROR(__xludf.DUMMYFUNCTION("""COMPUTED_VALUE"""),2)</f>
        <v>2</v>
      </c>
      <c r="BE136" t="str">
        <f ca="1">IFERROR(__xludf.DUMMYFUNCTION("""COMPUTED_VALUE"""),"SE")</f>
        <v>SE</v>
      </c>
      <c r="BF136" t="str">
        <f ca="1">IFERROR(__xludf.DUMMYFUNCTION("""COMPUTED_VALUE"""),"NA")</f>
        <v>NA</v>
      </c>
      <c r="BG136" t="str">
        <f ca="1">IFERROR(__xludf.DUMMYFUNCTION("""COMPUTED_VALUE"""),"NA")</f>
        <v>NA</v>
      </c>
      <c r="BH136">
        <f ca="1">IFERROR(__xludf.DUMMYFUNCTION("""COMPUTED_VALUE"""),1.6)</f>
        <v>1.6</v>
      </c>
      <c r="BI136">
        <f ca="1">IFERROR(__xludf.DUMMYFUNCTION("""COMPUTED_VALUE"""),0.8)</f>
        <v>0.8</v>
      </c>
      <c r="BJ136">
        <f ca="1">IFERROR(__xludf.DUMMYFUNCTION("""COMPUTED_VALUE"""),1.3)</f>
        <v>1.3</v>
      </c>
      <c r="BK136" t="str">
        <f ca="1">IFERROR(__xludf.DUMMYFUNCTION("""COMPUTED_VALUE"""),"NA")</f>
        <v>NA</v>
      </c>
      <c r="BL136">
        <v>1</v>
      </c>
      <c r="BM136">
        <v>4</v>
      </c>
      <c r="BN136">
        <v>4</v>
      </c>
      <c r="BO136">
        <v>3</v>
      </c>
      <c r="BP136">
        <v>2</v>
      </c>
      <c r="BQ136">
        <v>3</v>
      </c>
      <c r="BR136">
        <v>3</v>
      </c>
      <c r="BS136">
        <v>1</v>
      </c>
      <c r="BT136">
        <v>3</v>
      </c>
      <c r="BU136">
        <v>4</v>
      </c>
      <c r="BV136">
        <v>5</v>
      </c>
      <c r="BW136">
        <v>3</v>
      </c>
      <c r="BX136">
        <v>1</v>
      </c>
      <c r="BY136">
        <v>2</v>
      </c>
      <c r="BZ136">
        <v>1</v>
      </c>
      <c r="CA136">
        <v>2</v>
      </c>
      <c r="CB136">
        <v>1</v>
      </c>
      <c r="CC136">
        <v>2</v>
      </c>
      <c r="CD136">
        <v>2</v>
      </c>
      <c r="CE136">
        <v>2</v>
      </c>
      <c r="CF136">
        <v>1</v>
      </c>
      <c r="CG136">
        <v>1</v>
      </c>
      <c r="CH136">
        <v>3</v>
      </c>
      <c r="CI136">
        <v>3</v>
      </c>
      <c r="CJ136">
        <v>1</v>
      </c>
      <c r="CK136">
        <v>1</v>
      </c>
      <c r="CL136">
        <v>1</v>
      </c>
      <c r="CM136">
        <v>5</v>
      </c>
      <c r="CN136" s="100" t="s">
        <v>564</v>
      </c>
      <c r="CO136">
        <v>4</v>
      </c>
      <c r="CP136">
        <v>1</v>
      </c>
      <c r="CQ136">
        <v>7</v>
      </c>
      <c r="CR136">
        <v>2</v>
      </c>
      <c r="CS136">
        <v>3</v>
      </c>
      <c r="CT136">
        <v>1</v>
      </c>
      <c r="CU136">
        <v>3</v>
      </c>
      <c r="CV136">
        <v>3</v>
      </c>
      <c r="CW136">
        <v>3</v>
      </c>
      <c r="CX136" s="100" t="s">
        <v>249</v>
      </c>
      <c r="CY136">
        <v>3</v>
      </c>
      <c r="CZ136">
        <v>2</v>
      </c>
      <c r="DA136">
        <v>2</v>
      </c>
      <c r="DB136">
        <v>3</v>
      </c>
      <c r="DC136">
        <v>3</v>
      </c>
      <c r="DD136">
        <v>4</v>
      </c>
      <c r="DE136">
        <v>5</v>
      </c>
      <c r="DF136">
        <v>2</v>
      </c>
      <c r="DG136">
        <v>2</v>
      </c>
      <c r="DH136" s="100" t="s">
        <v>565</v>
      </c>
      <c r="DI136" s="100" t="s">
        <v>223</v>
      </c>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row>
    <row r="137" spans="1:145" s="56" customFormat="1" ht="12" customHeight="1">
      <c r="A137" s="85">
        <v>43872.441377314812</v>
      </c>
      <c r="B137" s="56" t="str">
        <f ca="1">IFERROR(__xludf.DUMMYFUNCTION("""COMPUTED_VALUE"""),"E00460")</f>
        <v>E00460</v>
      </c>
      <c r="C137" s="86">
        <f t="shared" si="7"/>
        <v>136</v>
      </c>
      <c r="D137" s="56" t="s">
        <v>139</v>
      </c>
      <c r="E137" s="56" t="s">
        <v>67</v>
      </c>
      <c r="F137" s="56">
        <v>12</v>
      </c>
      <c r="G137" s="56">
        <f ca="1">IFERROR(__xludf.DUMMYFUNCTION("""COMPUTED_VALUE"""),21.3)</f>
        <v>21.3</v>
      </c>
      <c r="H137" s="56">
        <f ca="1">IFERROR(__xludf.DUMMYFUNCTION("""COMPUTED_VALUE"""),37.9)</f>
        <v>37.9</v>
      </c>
      <c r="I137" s="56">
        <v>646</v>
      </c>
      <c r="J137" s="56">
        <v>1</v>
      </c>
      <c r="K137" s="56">
        <v>140</v>
      </c>
      <c r="L137" s="56">
        <v>0.71000000000000008</v>
      </c>
      <c r="M137" s="56">
        <v>20.785599999999999</v>
      </c>
      <c r="N137" s="56">
        <v>0.02</v>
      </c>
      <c r="O137" s="56">
        <v>61</v>
      </c>
      <c r="P137" s="56">
        <v>0</v>
      </c>
      <c r="R137" s="56">
        <f ca="1">IFERROR(__xludf.DUMMYFUNCTION("""COMPUTED_VALUE"""),2190)</f>
        <v>2190</v>
      </c>
      <c r="S137" s="56">
        <f ca="1">IFERROR(__xludf.DUMMYFUNCTION("""COMPUTED_VALUE"""),635)</f>
        <v>635</v>
      </c>
      <c r="T137" s="56">
        <f ca="1">IFERROR(__xludf.DUMMYFUNCTION("""COMPUTED_VALUE"""),515)</f>
        <v>515</v>
      </c>
      <c r="V137" s="56">
        <f t="shared" ca="1" si="6"/>
        <v>1412.5</v>
      </c>
      <c r="AD137" s="56">
        <v>3</v>
      </c>
      <c r="AF137" t="str">
        <f ca="1">IFERROR(__xludf.DUMMYFUNCTION("""COMPUTED_VALUE"""),"Private")</f>
        <v>Private</v>
      </c>
      <c r="AG137" t="str">
        <f ca="1">IFERROR(__xludf.DUMMYFUNCTION("""COMPUTED_VALUE"""),"No")</f>
        <v>No</v>
      </c>
      <c r="AH137" t="str">
        <f ca="1">IFERROR(__xludf.DUMMYFUNCTION("""COMPUTED_VALUE"""),"Yes")</f>
        <v>Yes</v>
      </c>
      <c r="AI137" t="str">
        <f ca="1">IFERROR(__xludf.DUMMYFUNCTION("""COMPUTED_VALUE"""),"Yes")</f>
        <v>Yes</v>
      </c>
      <c r="AJ137" t="str">
        <f ca="1">IFERROR(__xludf.DUMMYFUNCTION("""COMPUTED_VALUE"""),"half")</f>
        <v>half</v>
      </c>
      <c r="AK137">
        <v>0</v>
      </c>
      <c r="AL137"/>
      <c r="AM137" t="str">
        <f ca="1">IFERROR(__xludf.DUMMYFUNCTION("""COMPUTED_VALUE"""),"wood")</f>
        <v>wood</v>
      </c>
      <c r="AN137" t="str">
        <f ca="1">IFERROR(__xludf.DUMMYFUNCTION("""COMPUTED_VALUE"""),"browm")</f>
        <v>browm</v>
      </c>
      <c r="AO137" t="str">
        <f ca="1">IFERROR(__xludf.DUMMYFUNCTION("""COMPUTED_VALUE"""),"Office chair")</f>
        <v>Office chair</v>
      </c>
      <c r="AP137" t="str">
        <f ca="1">IFERROR(__xludf.DUMMYFUNCTION("""COMPUTED_VALUE"""),"plastic")</f>
        <v>plastic</v>
      </c>
      <c r="AQ137" t="str">
        <f ca="1">IFERROR(__xludf.DUMMYFUNCTION("""COMPUTED_VALUE"""),"concrete")</f>
        <v>concrete</v>
      </c>
      <c r="AR137" t="str">
        <f ca="1">IFERROR(__xludf.DUMMYFUNCTION("""COMPUTED_VALUE"""),"grey")</f>
        <v>grey</v>
      </c>
      <c r="AS137" t="str">
        <f ca="1">IFERROR(__xludf.DUMMYFUNCTION("""COMPUTED_VALUE"""),"white+blue")</f>
        <v>white+blue</v>
      </c>
      <c r="AT137" t="str">
        <f ca="1">IFERROR(__xludf.DUMMYFUNCTION("""COMPUTED_VALUE"""),"white")</f>
        <v>white</v>
      </c>
      <c r="AU137" t="str">
        <f ca="1">IFERROR(__xludf.DUMMYFUNCTION("""COMPUTED_VALUE"""),"NA")</f>
        <v>NA</v>
      </c>
      <c r="AV137" t="str">
        <f ca="1">IFERROR(__xludf.DUMMYFUNCTION("""COMPUTED_VALUE"""),"No")</f>
        <v>No</v>
      </c>
      <c r="AW137">
        <f ca="1">IFERROR(__xludf.DUMMYFUNCTION("""COMPUTED_VALUE"""),2190)</f>
        <v>2190</v>
      </c>
      <c r="AX137">
        <f ca="1">IFERROR(__xludf.DUMMYFUNCTION("""COMPUTED_VALUE"""),635)</f>
        <v>635</v>
      </c>
      <c r="AY137">
        <f ca="1">IFERROR(__xludf.DUMMYFUNCTION("""COMPUTED_VALUE"""),515)</f>
        <v>515</v>
      </c>
      <c r="AZ137" t="str">
        <f ca="1">IFERROR(__xludf.DUMMYFUNCTION("""COMPUTED_VALUE"""),"No")</f>
        <v>No</v>
      </c>
      <c r="BA137">
        <f ca="1">IFERROR(__xludf.DUMMYFUNCTION("""COMPUTED_VALUE"""),3)</f>
        <v>3</v>
      </c>
      <c r="BB137" t="str">
        <f ca="1">IFERROR(__xludf.DUMMYFUNCTION("""COMPUTED_VALUE"""),"NA")</f>
        <v>NA</v>
      </c>
      <c r="BC137" t="str">
        <f ca="1">IFERROR(__xludf.DUMMYFUNCTION("""COMPUTED_VALUE"""),"No")</f>
        <v>No</v>
      </c>
      <c r="BD137">
        <f ca="1">IFERROR(__xludf.DUMMYFUNCTION("""COMPUTED_VALUE"""),1)</f>
        <v>1</v>
      </c>
      <c r="BE137" t="str">
        <f ca="1">IFERROR(__xludf.DUMMYFUNCTION("""COMPUTED_VALUE"""),"SE")</f>
        <v>SE</v>
      </c>
      <c r="BF137" t="str">
        <f ca="1">IFERROR(__xludf.DUMMYFUNCTION("""COMPUTED_VALUE"""),"NA")</f>
        <v>NA</v>
      </c>
      <c r="BG137" t="str">
        <f ca="1">IFERROR(__xludf.DUMMYFUNCTION("""COMPUTED_VALUE"""),"NA")</f>
        <v>NA</v>
      </c>
      <c r="BH137">
        <f ca="1">IFERROR(__xludf.DUMMYFUNCTION("""COMPUTED_VALUE"""),1.6)</f>
        <v>1.6</v>
      </c>
      <c r="BI137">
        <f ca="1">IFERROR(__xludf.DUMMYFUNCTION("""COMPUTED_VALUE"""),0.8)</f>
        <v>0.8</v>
      </c>
      <c r="BJ137">
        <f ca="1">IFERROR(__xludf.DUMMYFUNCTION("""COMPUTED_VALUE"""),0.72)</f>
        <v>0.72</v>
      </c>
      <c r="BK137" t="str">
        <f ca="1">IFERROR(__xludf.DUMMYFUNCTION("""COMPUTED_VALUE"""),"NA")</f>
        <v>NA</v>
      </c>
      <c r="BL137">
        <v>1</v>
      </c>
      <c r="BM137">
        <v>4</v>
      </c>
      <c r="BN137">
        <v>4</v>
      </c>
      <c r="BO137">
        <v>2</v>
      </c>
      <c r="BP137">
        <v>2</v>
      </c>
      <c r="BQ137">
        <v>3</v>
      </c>
      <c r="BR137">
        <v>4</v>
      </c>
      <c r="BS137">
        <v>2</v>
      </c>
      <c r="BT137">
        <v>2</v>
      </c>
      <c r="BU137">
        <v>3</v>
      </c>
      <c r="BV137">
        <v>3</v>
      </c>
      <c r="BW137">
        <v>3</v>
      </c>
      <c r="BX137">
        <v>1</v>
      </c>
      <c r="BY137">
        <v>3</v>
      </c>
      <c r="BZ137">
        <v>1</v>
      </c>
      <c r="CA137">
        <v>6</v>
      </c>
      <c r="CB137">
        <v>6</v>
      </c>
      <c r="CC137">
        <v>5</v>
      </c>
      <c r="CD137">
        <v>1</v>
      </c>
      <c r="CE137">
        <v>1</v>
      </c>
      <c r="CF137">
        <v>5</v>
      </c>
      <c r="CG137">
        <v>1</v>
      </c>
      <c r="CH137">
        <v>3</v>
      </c>
      <c r="CI137">
        <v>3</v>
      </c>
      <c r="CJ137">
        <v>6</v>
      </c>
      <c r="CK137">
        <v>4</v>
      </c>
      <c r="CL137">
        <v>5</v>
      </c>
      <c r="CM137">
        <v>5</v>
      </c>
      <c r="CN137" s="100" t="s">
        <v>566</v>
      </c>
      <c r="CO137">
        <v>1</v>
      </c>
      <c r="CP137">
        <v>4</v>
      </c>
      <c r="CQ137">
        <v>2</v>
      </c>
      <c r="CR137">
        <v>1</v>
      </c>
      <c r="CS137">
        <v>1</v>
      </c>
      <c r="CT137">
        <v>7</v>
      </c>
      <c r="CU137">
        <v>5</v>
      </c>
      <c r="CV137">
        <v>2</v>
      </c>
      <c r="CW137">
        <v>3</v>
      </c>
      <c r="CX137" s="100" t="s">
        <v>257</v>
      </c>
      <c r="CY137">
        <v>5</v>
      </c>
      <c r="CZ137">
        <v>1</v>
      </c>
      <c r="DA137">
        <v>3</v>
      </c>
      <c r="DB137">
        <v>2</v>
      </c>
      <c r="DC137">
        <v>3</v>
      </c>
      <c r="DD137">
        <v>3</v>
      </c>
      <c r="DE137">
        <v>6</v>
      </c>
      <c r="DF137">
        <v>2</v>
      </c>
      <c r="DG137">
        <v>5</v>
      </c>
      <c r="DH137" s="100" t="s">
        <v>567</v>
      </c>
      <c r="DI137" s="100" t="s">
        <v>223</v>
      </c>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row>
    <row r="138" spans="1:145" s="56" customFormat="1" ht="14" customHeight="1">
      <c r="A138" s="85">
        <v>43872.470590277779</v>
      </c>
      <c r="B138" s="56" t="str">
        <f ca="1">IFERROR(__xludf.DUMMYFUNCTION("""COMPUTED_VALUE"""),"E00400")</f>
        <v>E00400</v>
      </c>
      <c r="C138" s="86">
        <f t="shared" si="7"/>
        <v>137</v>
      </c>
      <c r="D138" s="56" t="s">
        <v>139</v>
      </c>
      <c r="E138" s="56" t="s">
        <v>67</v>
      </c>
      <c r="F138" s="56">
        <v>12</v>
      </c>
      <c r="G138" s="56">
        <f ca="1">IFERROR(__xludf.DUMMYFUNCTION("""COMPUTED_VALUE"""),20.9)</f>
        <v>20.9</v>
      </c>
      <c r="H138" s="56">
        <f ca="1">IFERROR(__xludf.DUMMYFUNCTION("""COMPUTED_VALUE"""),34.7)</f>
        <v>34.700000000000003</v>
      </c>
      <c r="I138" s="56">
        <v>725</v>
      </c>
      <c r="J138" s="56">
        <v>1.1000000000000001</v>
      </c>
      <c r="K138" s="56">
        <v>146</v>
      </c>
      <c r="L138" s="56">
        <v>0.55000000000000004</v>
      </c>
      <c r="M138" s="56">
        <v>19.840199999999999</v>
      </c>
      <c r="N138" s="56">
        <v>0.01</v>
      </c>
      <c r="O138" s="56">
        <v>49.3</v>
      </c>
      <c r="P138" s="56">
        <v>0</v>
      </c>
      <c r="R138" s="56">
        <f ca="1">IFERROR(__xludf.DUMMYFUNCTION("""COMPUTED_VALUE"""),890)</f>
        <v>890</v>
      </c>
      <c r="S138" s="56">
        <f ca="1">IFERROR(__xludf.DUMMYFUNCTION("""COMPUTED_VALUE"""),758)</f>
        <v>758</v>
      </c>
      <c r="T138" s="56">
        <f ca="1">IFERROR(__xludf.DUMMYFUNCTION("""COMPUTED_VALUE"""),566)</f>
        <v>566</v>
      </c>
      <c r="V138" s="56">
        <f t="shared" ca="1" si="6"/>
        <v>824</v>
      </c>
      <c r="AD138" s="56">
        <v>2</v>
      </c>
      <c r="AF138" t="str">
        <f ca="1">IFERROR(__xludf.DUMMYFUNCTION("""COMPUTED_VALUE"""),"Private")</f>
        <v>Private</v>
      </c>
      <c r="AG138" t="str">
        <f ca="1">IFERROR(__xludf.DUMMYFUNCTION("""COMPUTED_VALUE"""),"No")</f>
        <v>No</v>
      </c>
      <c r="AH138" t="str">
        <f ca="1">IFERROR(__xludf.DUMMYFUNCTION("""COMPUTED_VALUE"""),"No")</f>
        <v>No</v>
      </c>
      <c r="AI138" t="str">
        <f ca="1">IFERROR(__xludf.DUMMYFUNCTION("""COMPUTED_VALUE"""),"NA")</f>
        <v>NA</v>
      </c>
      <c r="AJ138" t="str">
        <f ca="1">IFERROR(__xludf.DUMMYFUNCTION("""COMPUTED_VALUE"""),"NA")</f>
        <v>NA</v>
      </c>
      <c r="AK138">
        <v>0</v>
      </c>
      <c r="AL138"/>
      <c r="AM138" t="str">
        <f ca="1">IFERROR(__xludf.DUMMYFUNCTION("""COMPUTED_VALUE"""),"wood")</f>
        <v>wood</v>
      </c>
      <c r="AN138" t="str">
        <f ca="1">IFERROR(__xludf.DUMMYFUNCTION("""COMPUTED_VALUE"""),"browm")</f>
        <v>browm</v>
      </c>
      <c r="AO138" t="str">
        <f ca="1">IFERROR(__xludf.DUMMYFUNCTION("""COMPUTED_VALUE"""),"Office chair")</f>
        <v>Office chair</v>
      </c>
      <c r="AP138" t="str">
        <f ca="1">IFERROR(__xludf.DUMMYFUNCTION("""COMPUTED_VALUE"""),"Cloth")</f>
        <v>Cloth</v>
      </c>
      <c r="AQ138" t="str">
        <f ca="1">IFERROR(__xludf.DUMMYFUNCTION("""COMPUTED_VALUE"""),"Carpet")</f>
        <v>Carpet</v>
      </c>
      <c r="AR138" t="str">
        <f ca="1">IFERROR(__xludf.DUMMYFUNCTION("""COMPUTED_VALUE"""),"grey")</f>
        <v>grey</v>
      </c>
      <c r="AS138" t="str">
        <f ca="1">IFERROR(__xludf.DUMMYFUNCTION("""COMPUTED_VALUE"""),"white")</f>
        <v>white</v>
      </c>
      <c r="AT138" t="str">
        <f ca="1">IFERROR(__xludf.DUMMYFUNCTION("""COMPUTED_VALUE"""),"white")</f>
        <v>white</v>
      </c>
      <c r="AU138" t="str">
        <f ca="1">IFERROR(__xludf.DUMMYFUNCTION("""COMPUTED_VALUE"""),"NA")</f>
        <v>NA</v>
      </c>
      <c r="AV138" t="str">
        <f ca="1">IFERROR(__xludf.DUMMYFUNCTION("""COMPUTED_VALUE"""),"No")</f>
        <v>No</v>
      </c>
      <c r="AW138">
        <f ca="1">IFERROR(__xludf.DUMMYFUNCTION("""COMPUTED_VALUE"""),890)</f>
        <v>890</v>
      </c>
      <c r="AX138">
        <f ca="1">IFERROR(__xludf.DUMMYFUNCTION("""COMPUTED_VALUE"""),758)</f>
        <v>758</v>
      </c>
      <c r="AY138">
        <f ca="1">IFERROR(__xludf.DUMMYFUNCTION("""COMPUTED_VALUE"""),566)</f>
        <v>566</v>
      </c>
      <c r="AZ138" t="str">
        <f ca="1">IFERROR(__xludf.DUMMYFUNCTION("""COMPUTED_VALUE"""),"No")</f>
        <v>No</v>
      </c>
      <c r="BA138">
        <f ca="1">IFERROR(__xludf.DUMMYFUNCTION("""COMPUTED_VALUE"""),3.12)</f>
        <v>3.12</v>
      </c>
      <c r="BB138" t="str">
        <f ca="1">IFERROR(__xludf.DUMMYFUNCTION("""COMPUTED_VALUE"""),"NA")</f>
        <v>NA</v>
      </c>
      <c r="BC138" t="str">
        <f ca="1">IFERROR(__xludf.DUMMYFUNCTION("""COMPUTED_VALUE"""),"NA")</f>
        <v>NA</v>
      </c>
      <c r="BD138" t="str">
        <f ca="1">IFERROR(__xludf.DUMMYFUNCTION("""COMPUTED_VALUE"""),"NA")</f>
        <v>NA</v>
      </c>
      <c r="BE138" t="str">
        <f ca="1">IFERROR(__xludf.DUMMYFUNCTION("""COMPUTED_VALUE"""),"NA")</f>
        <v>NA</v>
      </c>
      <c r="BF138" t="str">
        <f ca="1">IFERROR(__xludf.DUMMYFUNCTION("""COMPUTED_VALUE"""),"NA")</f>
        <v>NA</v>
      </c>
      <c r="BG138" t="str">
        <f ca="1">IFERROR(__xludf.DUMMYFUNCTION("""COMPUTED_VALUE"""),"NA")</f>
        <v>NA</v>
      </c>
      <c r="BH138">
        <f ca="1">IFERROR(__xludf.DUMMYFUNCTION("""COMPUTED_VALUE"""),1.82)</f>
        <v>1.82</v>
      </c>
      <c r="BI138">
        <f ca="1">IFERROR(__xludf.DUMMYFUNCTION("""COMPUTED_VALUE"""),0.68)</f>
        <v>0.68</v>
      </c>
      <c r="BJ138">
        <f ca="1">IFERROR(__xludf.DUMMYFUNCTION("""COMPUTED_VALUE"""),0.73)</f>
        <v>0.73</v>
      </c>
      <c r="BK138" t="str">
        <f ca="1">IFERROR(__xludf.DUMMYFUNCTION("""COMPUTED_VALUE"""),"NA")</f>
        <v>NA</v>
      </c>
      <c r="BL138">
        <v>2</v>
      </c>
      <c r="BM138">
        <v>3</v>
      </c>
      <c r="BN138">
        <v>4</v>
      </c>
      <c r="BO138">
        <v>2</v>
      </c>
      <c r="BP138">
        <v>1</v>
      </c>
      <c r="BQ138">
        <v>3</v>
      </c>
      <c r="BR138">
        <v>3</v>
      </c>
      <c r="BS138">
        <v>1</v>
      </c>
      <c r="BT138">
        <v>3</v>
      </c>
      <c r="BU138">
        <v>3</v>
      </c>
      <c r="BV138">
        <v>2</v>
      </c>
      <c r="BW138">
        <v>3</v>
      </c>
      <c r="BX138">
        <v>1</v>
      </c>
      <c r="BY138">
        <v>3</v>
      </c>
      <c r="BZ138">
        <v>1</v>
      </c>
      <c r="CA138">
        <v>3</v>
      </c>
      <c r="CB138">
        <v>7</v>
      </c>
      <c r="CC138">
        <v>3</v>
      </c>
      <c r="CD138">
        <v>2</v>
      </c>
      <c r="CE138">
        <v>2</v>
      </c>
      <c r="CF138">
        <v>3</v>
      </c>
      <c r="CG138">
        <v>2</v>
      </c>
      <c r="CH138">
        <v>2</v>
      </c>
      <c r="CI138">
        <v>6</v>
      </c>
      <c r="CJ138">
        <v>3</v>
      </c>
      <c r="CK138">
        <v>4</v>
      </c>
      <c r="CL138">
        <v>3</v>
      </c>
      <c r="CM138">
        <v>5</v>
      </c>
      <c r="CN138" s="100" t="s">
        <v>568</v>
      </c>
      <c r="CO138">
        <v>1</v>
      </c>
      <c r="CP138">
        <v>6</v>
      </c>
      <c r="CQ138">
        <v>4</v>
      </c>
      <c r="CR138">
        <v>1</v>
      </c>
      <c r="CS138">
        <v>2</v>
      </c>
      <c r="CT138">
        <v>6</v>
      </c>
      <c r="CU138">
        <v>4</v>
      </c>
      <c r="CV138">
        <v>2</v>
      </c>
      <c r="CW138">
        <v>2</v>
      </c>
      <c r="CX138" s="100" t="s">
        <v>253</v>
      </c>
      <c r="CY138">
        <v>6</v>
      </c>
      <c r="CZ138">
        <v>1</v>
      </c>
      <c r="DA138">
        <v>3</v>
      </c>
      <c r="DB138">
        <v>2</v>
      </c>
      <c r="DC138">
        <v>6</v>
      </c>
      <c r="DD138">
        <v>2</v>
      </c>
      <c r="DE138">
        <v>5</v>
      </c>
      <c r="DF138">
        <v>3</v>
      </c>
      <c r="DG138">
        <v>5</v>
      </c>
      <c r="DH138" s="100" t="s">
        <v>223</v>
      </c>
      <c r="DI138" s="100" t="s">
        <v>223</v>
      </c>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row>
    <row r="139" spans="1:145" s="56" customFormat="1" ht="14">
      <c r="A139" s="85">
        <v>43873.584340277775</v>
      </c>
      <c r="B139" s="56" t="str">
        <f ca="1">IFERROR(__xludf.DUMMYFUNCTION("""COMPUTED_VALUE"""),"D00490")</f>
        <v>D00490</v>
      </c>
      <c r="C139" s="86">
        <f t="shared" si="7"/>
        <v>138</v>
      </c>
      <c r="D139" s="56" t="s">
        <v>139</v>
      </c>
      <c r="E139" s="56" t="s">
        <v>67</v>
      </c>
      <c r="F139" s="56">
        <v>12</v>
      </c>
      <c r="G139" s="56">
        <f ca="1">IFERROR(__xludf.DUMMYFUNCTION("""COMPUTED_VALUE"""),22.1)</f>
        <v>22.1</v>
      </c>
      <c r="H139" s="56">
        <f ca="1">IFERROR(__xludf.DUMMYFUNCTION("""COMPUTED_VALUE"""),36.6)</f>
        <v>36.6</v>
      </c>
      <c r="I139" s="56">
        <v>706</v>
      </c>
      <c r="J139" s="56">
        <v>0.6</v>
      </c>
      <c r="K139" s="56">
        <v>146</v>
      </c>
      <c r="L139" s="56">
        <v>0.63</v>
      </c>
      <c r="M139" s="56">
        <v>23.1858</v>
      </c>
      <c r="N139" s="56">
        <v>0.03</v>
      </c>
      <c r="O139" s="56">
        <v>48.5</v>
      </c>
      <c r="P139" s="56">
        <v>0</v>
      </c>
      <c r="R139" s="56">
        <f ca="1">IFERROR(__xludf.DUMMYFUNCTION("""COMPUTED_VALUE"""),370)</f>
        <v>370</v>
      </c>
      <c r="S139" s="56">
        <f ca="1">IFERROR(__xludf.DUMMYFUNCTION("""COMPUTED_VALUE"""),419)</f>
        <v>419</v>
      </c>
      <c r="T139" s="56">
        <f ca="1">IFERROR(__xludf.DUMMYFUNCTION("""COMPUTED_VALUE"""),144.3)</f>
        <v>144.30000000000001</v>
      </c>
      <c r="V139" s="56">
        <f t="shared" ca="1" si="6"/>
        <v>394.5</v>
      </c>
      <c r="AD139" s="56">
        <v>5</v>
      </c>
      <c r="AF139" t="str">
        <f ca="1">IFERROR(__xludf.DUMMYFUNCTION("""COMPUTED_VALUE"""),"Open plan")</f>
        <v>Open plan</v>
      </c>
      <c r="AG139" t="str">
        <f ca="1">IFERROR(__xludf.DUMMYFUNCTION("""COMPUTED_VALUE"""),"No")</f>
        <v>No</v>
      </c>
      <c r="AH139" t="str">
        <f ca="1">IFERROR(__xludf.DUMMYFUNCTION("""COMPUTED_VALUE"""),"No")</f>
        <v>No</v>
      </c>
      <c r="AI139" t="str">
        <f ca="1">IFERROR(__xludf.DUMMYFUNCTION("""COMPUTED_VALUE"""),"No")</f>
        <v>No</v>
      </c>
      <c r="AJ139" t="str">
        <f ca="1">IFERROR(__xludf.DUMMYFUNCTION("""COMPUTED_VALUE"""),"No")</f>
        <v>No</v>
      </c>
      <c r="AK139">
        <v>0</v>
      </c>
      <c r="AL139"/>
      <c r="AM139" t="str">
        <f ca="1">IFERROR(__xludf.DUMMYFUNCTION("""COMPUTED_VALUE"""),"wood")</f>
        <v>wood</v>
      </c>
      <c r="AN139" t="str">
        <f ca="1">IFERROR(__xludf.DUMMYFUNCTION("""COMPUTED_VALUE"""),"Brown")</f>
        <v>Brown</v>
      </c>
      <c r="AO139" t="str">
        <f ca="1">IFERROR(__xludf.DUMMYFUNCTION("""COMPUTED_VALUE"""),"Office chair")</f>
        <v>Office chair</v>
      </c>
      <c r="AP139" t="str">
        <f ca="1">IFERROR(__xludf.DUMMYFUNCTION("""COMPUTED_VALUE"""),"Cloth")</f>
        <v>Cloth</v>
      </c>
      <c r="AQ139" t="str">
        <f ca="1">IFERROR(__xludf.DUMMYFUNCTION("""COMPUTED_VALUE"""),"concrete")</f>
        <v>concrete</v>
      </c>
      <c r="AR139" t="str">
        <f ca="1">IFERROR(__xludf.DUMMYFUNCTION("""COMPUTED_VALUE"""),"grey")</f>
        <v>grey</v>
      </c>
      <c r="AS139" t="str">
        <f ca="1">IFERROR(__xludf.DUMMYFUNCTION("""COMPUTED_VALUE"""),"white")</f>
        <v>white</v>
      </c>
      <c r="AT139" t="str">
        <f ca="1">IFERROR(__xludf.DUMMYFUNCTION("""COMPUTED_VALUE"""),"white")</f>
        <v>white</v>
      </c>
      <c r="AU139" t="str">
        <f ca="1">IFERROR(__xludf.DUMMYFUNCTION("""COMPUTED_VALUE"""),"NA")</f>
        <v>NA</v>
      </c>
      <c r="AV139" t="str">
        <f ca="1">IFERROR(__xludf.DUMMYFUNCTION("""COMPUTED_VALUE"""),"No")</f>
        <v>No</v>
      </c>
      <c r="AW139">
        <f ca="1">IFERROR(__xludf.DUMMYFUNCTION("""COMPUTED_VALUE"""),370)</f>
        <v>370</v>
      </c>
      <c r="AX139">
        <f ca="1">IFERROR(__xludf.DUMMYFUNCTION("""COMPUTED_VALUE"""),419)</f>
        <v>419</v>
      </c>
      <c r="AY139">
        <f ca="1">IFERROR(__xludf.DUMMYFUNCTION("""COMPUTED_VALUE"""),144.3)</f>
        <v>144.30000000000001</v>
      </c>
      <c r="AZ139" t="str">
        <f ca="1">IFERROR(__xludf.DUMMYFUNCTION("""COMPUTED_VALUE"""),"No")</f>
        <v>No</v>
      </c>
      <c r="BA139">
        <f ca="1">IFERROR(__xludf.DUMMYFUNCTION("""COMPUTED_VALUE"""),2.3)</f>
        <v>2.2999999999999998</v>
      </c>
      <c r="BB139" t="str">
        <f ca="1">IFERROR(__xludf.DUMMYFUNCTION("""COMPUTED_VALUE"""),"NA")</f>
        <v>NA</v>
      </c>
      <c r="BC139" t="str">
        <f ca="1">IFERROR(__xludf.DUMMYFUNCTION("""COMPUTED_VALUE"""),"NA")</f>
        <v>NA</v>
      </c>
      <c r="BD139" t="str">
        <f ca="1">IFERROR(__xludf.DUMMYFUNCTION("""COMPUTED_VALUE"""),"NA")</f>
        <v>NA</v>
      </c>
      <c r="BE139" t="str">
        <f ca="1">IFERROR(__xludf.DUMMYFUNCTION("""COMPUTED_VALUE"""),"NA")</f>
        <v>NA</v>
      </c>
      <c r="BF139" t="str">
        <f ca="1">IFERROR(__xludf.DUMMYFUNCTION("""COMPUTED_VALUE"""),"NA")</f>
        <v>NA</v>
      </c>
      <c r="BG139" t="str">
        <f ca="1">IFERROR(__xludf.DUMMYFUNCTION("""COMPUTED_VALUE"""),"NA")</f>
        <v>NA</v>
      </c>
      <c r="BH139">
        <f ca="1">IFERROR(__xludf.DUMMYFUNCTION("""COMPUTED_VALUE"""),2.18)</f>
        <v>2.1800000000000002</v>
      </c>
      <c r="BI139">
        <f ca="1">IFERROR(__xludf.DUMMYFUNCTION("""COMPUTED_VALUE"""),0.59)</f>
        <v>0.59</v>
      </c>
      <c r="BJ139">
        <f ca="1">IFERROR(__xludf.DUMMYFUNCTION("""COMPUTED_VALUE"""),0.74)</f>
        <v>0.74</v>
      </c>
      <c r="BK139" t="str">
        <f ca="1">IFERROR(__xludf.DUMMYFUNCTION("""COMPUTED_VALUE"""),"NA")</f>
        <v>NA</v>
      </c>
      <c r="BL139">
        <v>2</v>
      </c>
      <c r="BM139">
        <v>4</v>
      </c>
      <c r="BN139">
        <v>2</v>
      </c>
      <c r="BO139">
        <v>2</v>
      </c>
      <c r="BP139">
        <v>1</v>
      </c>
      <c r="BQ139">
        <v>2</v>
      </c>
      <c r="BR139">
        <v>2</v>
      </c>
      <c r="BS139">
        <v>1</v>
      </c>
      <c r="BT139">
        <v>3</v>
      </c>
      <c r="BU139">
        <v>3</v>
      </c>
      <c r="BV139" s="100" t="s">
        <v>223</v>
      </c>
      <c r="BW139">
        <v>2</v>
      </c>
      <c r="BX139">
        <v>3</v>
      </c>
      <c r="BY139" s="100" t="s">
        <v>223</v>
      </c>
      <c r="BZ139">
        <v>1</v>
      </c>
      <c r="CA139">
        <v>6</v>
      </c>
      <c r="CB139">
        <v>3</v>
      </c>
      <c r="CC139">
        <v>1</v>
      </c>
      <c r="CD139">
        <v>2</v>
      </c>
      <c r="CE139">
        <v>1</v>
      </c>
      <c r="CF139">
        <v>4</v>
      </c>
      <c r="CG139">
        <v>2</v>
      </c>
      <c r="CH139">
        <v>3</v>
      </c>
      <c r="CI139">
        <v>4</v>
      </c>
      <c r="CJ139">
        <v>3</v>
      </c>
      <c r="CK139">
        <v>3</v>
      </c>
      <c r="CL139">
        <v>3</v>
      </c>
      <c r="CM139">
        <v>1</v>
      </c>
      <c r="CN139" s="100" t="s">
        <v>223</v>
      </c>
      <c r="CO139">
        <v>3</v>
      </c>
      <c r="CP139">
        <v>1</v>
      </c>
      <c r="CQ139">
        <v>4</v>
      </c>
      <c r="CR139">
        <v>2</v>
      </c>
      <c r="CS139">
        <v>3</v>
      </c>
      <c r="CT139">
        <v>1</v>
      </c>
      <c r="CU139">
        <v>4</v>
      </c>
      <c r="CV139">
        <v>1</v>
      </c>
      <c r="CW139">
        <v>3</v>
      </c>
      <c r="CX139" s="100" t="s">
        <v>237</v>
      </c>
      <c r="CY139">
        <v>3</v>
      </c>
      <c r="CZ139">
        <v>2</v>
      </c>
      <c r="DA139">
        <v>3</v>
      </c>
      <c r="DB139">
        <v>2</v>
      </c>
      <c r="DC139">
        <v>4</v>
      </c>
      <c r="DD139">
        <v>2</v>
      </c>
      <c r="DE139">
        <v>5</v>
      </c>
      <c r="DF139">
        <v>1</v>
      </c>
      <c r="DG139">
        <v>1</v>
      </c>
      <c r="DH139" s="100" t="s">
        <v>569</v>
      </c>
      <c r="DI139" s="100" t="s">
        <v>223</v>
      </c>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row>
    <row r="140" spans="1:145" s="56" customFormat="1" ht="14">
      <c r="A140" s="85">
        <v>43873.597488425927</v>
      </c>
      <c r="B140" s="56" t="str">
        <f ca="1">IFERROR(__xludf.DUMMYFUNCTION("""COMPUTED_VALUE"""),"D00460")</f>
        <v>D00460</v>
      </c>
      <c r="C140" s="86">
        <f t="shared" si="7"/>
        <v>139</v>
      </c>
      <c r="D140" s="56" t="s">
        <v>139</v>
      </c>
      <c r="E140" s="56" t="s">
        <v>67</v>
      </c>
      <c r="F140" s="56">
        <v>12</v>
      </c>
      <c r="G140" s="56">
        <f ca="1">IFERROR(__xludf.DUMMYFUNCTION("""COMPUTED_VALUE"""),22.1)</f>
        <v>22.1</v>
      </c>
      <c r="H140" s="56">
        <f ca="1">IFERROR(__xludf.DUMMYFUNCTION("""COMPUTED_VALUE"""),35.7)</f>
        <v>35.700000000000003</v>
      </c>
      <c r="I140" s="56">
        <v>678</v>
      </c>
      <c r="J140" s="56">
        <v>0.5</v>
      </c>
      <c r="K140" s="56">
        <v>152</v>
      </c>
      <c r="L140" s="56">
        <v>0.63</v>
      </c>
      <c r="M140" s="56">
        <v>22.074200000000001</v>
      </c>
      <c r="N140" s="56">
        <v>0.02</v>
      </c>
      <c r="O140" s="56">
        <v>46.4</v>
      </c>
      <c r="P140" s="56">
        <f ca="1">IFERROR(__xludf.DUMMYFUNCTION("""COMPUTED_VALUE"""),1.37)</f>
        <v>1.37</v>
      </c>
      <c r="R140" s="56">
        <f ca="1">IFERROR(__xludf.DUMMYFUNCTION("""COMPUTED_VALUE"""),260)</f>
        <v>260</v>
      </c>
      <c r="S140" s="56">
        <f ca="1">IFERROR(__xludf.DUMMYFUNCTION("""COMPUTED_VALUE"""),241)</f>
        <v>241</v>
      </c>
      <c r="T140" s="56">
        <f ca="1">IFERROR(__xludf.DUMMYFUNCTION("""COMPUTED_VALUE"""),1152)</f>
        <v>1152</v>
      </c>
      <c r="V140" s="56">
        <f t="shared" ca="1" si="6"/>
        <v>250.5</v>
      </c>
      <c r="AD140" s="56">
        <v>4</v>
      </c>
      <c r="AF140" t="str">
        <f ca="1">IFERROR(__xludf.DUMMYFUNCTION("""COMPUTED_VALUE"""),"Open plan")</f>
        <v>Open plan</v>
      </c>
      <c r="AG140" t="str">
        <f ca="1">IFERROR(__xludf.DUMMYFUNCTION("""COMPUTED_VALUE"""),"No")</f>
        <v>No</v>
      </c>
      <c r="AH140" t="str">
        <f ca="1">IFERROR(__xludf.DUMMYFUNCTION("""COMPUTED_VALUE"""),"No")</f>
        <v>No</v>
      </c>
      <c r="AI140" t="str">
        <f ca="1">IFERROR(__xludf.DUMMYFUNCTION("""COMPUTED_VALUE"""),"No")</f>
        <v>No</v>
      </c>
      <c r="AJ140" t="str">
        <f ca="1">IFERROR(__xludf.DUMMYFUNCTION("""COMPUTED_VALUE"""),"No")</f>
        <v>No</v>
      </c>
      <c r="AK140">
        <v>0</v>
      </c>
      <c r="AL140"/>
      <c r="AM140" t="str">
        <f ca="1">IFERROR(__xludf.DUMMYFUNCTION("""COMPUTED_VALUE"""),"wood")</f>
        <v>wood</v>
      </c>
      <c r="AN140" t="str">
        <f ca="1">IFERROR(__xludf.DUMMYFUNCTION("""COMPUTED_VALUE"""),"Brown")</f>
        <v>Brown</v>
      </c>
      <c r="AO140" t="str">
        <f ca="1">IFERROR(__xludf.DUMMYFUNCTION("""COMPUTED_VALUE"""),"Office chair")</f>
        <v>Office chair</v>
      </c>
      <c r="AP140" t="str">
        <f ca="1">IFERROR(__xludf.DUMMYFUNCTION("""COMPUTED_VALUE"""),"Cloth")</f>
        <v>Cloth</v>
      </c>
      <c r="AQ140" t="str">
        <f ca="1">IFERROR(__xludf.DUMMYFUNCTION("""COMPUTED_VALUE"""),"concrete")</f>
        <v>concrete</v>
      </c>
      <c r="AR140" t="str">
        <f ca="1">IFERROR(__xludf.DUMMYFUNCTION("""COMPUTED_VALUE"""),"grey")</f>
        <v>grey</v>
      </c>
      <c r="AS140" t="str">
        <f ca="1">IFERROR(__xludf.DUMMYFUNCTION("""COMPUTED_VALUE"""),"white")</f>
        <v>white</v>
      </c>
      <c r="AT140" t="str">
        <f ca="1">IFERROR(__xludf.DUMMYFUNCTION("""COMPUTED_VALUE"""),"white")</f>
        <v>white</v>
      </c>
      <c r="AU140" t="str">
        <f ca="1">IFERROR(__xludf.DUMMYFUNCTION("""COMPUTED_VALUE"""),"wood")</f>
        <v>wood</v>
      </c>
      <c r="AV140" t="str">
        <f ca="1">IFERROR(__xludf.DUMMYFUNCTION("""COMPUTED_VALUE"""),"No")</f>
        <v>No</v>
      </c>
      <c r="AW140">
        <f ca="1">IFERROR(__xludf.DUMMYFUNCTION("""COMPUTED_VALUE"""),260)</f>
        <v>260</v>
      </c>
      <c r="AX140">
        <f ca="1">IFERROR(__xludf.DUMMYFUNCTION("""COMPUTED_VALUE"""),241)</f>
        <v>241</v>
      </c>
      <c r="AY140">
        <f ca="1">IFERROR(__xludf.DUMMYFUNCTION("""COMPUTED_VALUE"""),1152)</f>
        <v>1152</v>
      </c>
      <c r="AZ140" t="str">
        <f ca="1">IFERROR(__xludf.DUMMYFUNCTION("""COMPUTED_VALUE"""),"No")</f>
        <v>No</v>
      </c>
      <c r="BA140">
        <f ca="1">IFERROR(__xludf.DUMMYFUNCTION("""COMPUTED_VALUE"""),2.3)</f>
        <v>2.2999999999999998</v>
      </c>
      <c r="BB140">
        <f ca="1">IFERROR(__xludf.DUMMYFUNCTION("""COMPUTED_VALUE"""),1)</f>
        <v>1</v>
      </c>
      <c r="BC140" t="str">
        <f ca="1">IFERROR(__xludf.DUMMYFUNCTION("""COMPUTED_VALUE"""),"NA")</f>
        <v>NA</v>
      </c>
      <c r="BD140">
        <f ca="1">IFERROR(__xludf.DUMMYFUNCTION("""COMPUTED_VALUE"""),0.8)</f>
        <v>0.8</v>
      </c>
      <c r="BE140" t="str">
        <f ca="1">IFERROR(__xludf.DUMMYFUNCTION("""COMPUTED_VALUE"""),"W")</f>
        <v>W</v>
      </c>
      <c r="BF140" t="str">
        <f ca="1">IFERROR(__xludf.DUMMYFUNCTION("""COMPUTED_VALUE"""),"NA")</f>
        <v>NA</v>
      </c>
      <c r="BG140" t="str">
        <f ca="1">IFERROR(__xludf.DUMMYFUNCTION("""COMPUTED_VALUE"""),"NA")</f>
        <v>NA</v>
      </c>
      <c r="BH140">
        <f ca="1">IFERROR(__xludf.DUMMYFUNCTION("""COMPUTED_VALUE"""),1.52)</f>
        <v>1.52</v>
      </c>
      <c r="BI140">
        <f ca="1">IFERROR(__xludf.DUMMYFUNCTION("""COMPUTED_VALUE"""),0.76)</f>
        <v>0.76</v>
      </c>
      <c r="BJ140">
        <f ca="1">IFERROR(__xludf.DUMMYFUNCTION("""COMPUTED_VALUE"""),0.74)</f>
        <v>0.74</v>
      </c>
      <c r="BK140">
        <f ca="1">IFERROR(__xludf.DUMMYFUNCTION("""COMPUTED_VALUE"""),1.37)</f>
        <v>1.37</v>
      </c>
      <c r="BL140">
        <v>2</v>
      </c>
      <c r="BM140">
        <v>3</v>
      </c>
      <c r="BN140">
        <v>2</v>
      </c>
      <c r="BO140">
        <v>3</v>
      </c>
      <c r="BP140">
        <v>2</v>
      </c>
      <c r="BQ140">
        <v>4</v>
      </c>
      <c r="BR140">
        <v>5</v>
      </c>
      <c r="BS140">
        <v>2</v>
      </c>
      <c r="BT140">
        <v>3</v>
      </c>
      <c r="BU140">
        <v>3</v>
      </c>
      <c r="BV140">
        <v>4</v>
      </c>
      <c r="BW140">
        <v>2</v>
      </c>
      <c r="BX140">
        <v>3</v>
      </c>
      <c r="BY140">
        <v>2</v>
      </c>
      <c r="BZ140">
        <v>1</v>
      </c>
      <c r="CA140">
        <v>6</v>
      </c>
      <c r="CB140">
        <v>2</v>
      </c>
      <c r="CC140">
        <v>2</v>
      </c>
      <c r="CD140">
        <v>2</v>
      </c>
      <c r="CE140">
        <v>1</v>
      </c>
      <c r="CF140">
        <v>3</v>
      </c>
      <c r="CG140">
        <v>1</v>
      </c>
      <c r="CH140">
        <v>2</v>
      </c>
      <c r="CI140">
        <v>4</v>
      </c>
      <c r="CJ140">
        <v>2</v>
      </c>
      <c r="CK140">
        <v>2</v>
      </c>
      <c r="CL140">
        <v>3</v>
      </c>
      <c r="CM140">
        <v>1</v>
      </c>
      <c r="CN140" s="100" t="s">
        <v>223</v>
      </c>
      <c r="CO140">
        <v>3</v>
      </c>
      <c r="CP140">
        <v>3</v>
      </c>
      <c r="CQ140">
        <v>4</v>
      </c>
      <c r="CR140">
        <v>2</v>
      </c>
      <c r="CS140">
        <v>3</v>
      </c>
      <c r="CT140">
        <v>4</v>
      </c>
      <c r="CU140">
        <v>6</v>
      </c>
      <c r="CV140">
        <v>2</v>
      </c>
      <c r="CW140">
        <v>3</v>
      </c>
      <c r="CX140" s="100" t="s">
        <v>257</v>
      </c>
      <c r="CY140">
        <v>4</v>
      </c>
      <c r="CZ140">
        <v>2</v>
      </c>
      <c r="DA140">
        <v>3</v>
      </c>
      <c r="DB140">
        <v>2</v>
      </c>
      <c r="DC140">
        <v>3</v>
      </c>
      <c r="DD140">
        <v>3</v>
      </c>
      <c r="DE140">
        <v>5</v>
      </c>
      <c r="DF140">
        <v>3</v>
      </c>
      <c r="DG140">
        <v>4</v>
      </c>
      <c r="DH140" s="100" t="s">
        <v>223</v>
      </c>
      <c r="DI140" s="100" t="s">
        <v>223</v>
      </c>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row>
    <row r="141" spans="1:145" s="56" customFormat="1" ht="14">
      <c r="A141" s="85">
        <v>43873.601863425924</v>
      </c>
      <c r="B141" s="56" t="str">
        <f ca="1">IFERROR(__xludf.DUMMYFUNCTION("""COMPUTED_VALUE"""),"E00475")</f>
        <v>E00475</v>
      </c>
      <c r="C141" s="86">
        <f t="shared" si="7"/>
        <v>140</v>
      </c>
      <c r="D141" s="56" t="s">
        <v>139</v>
      </c>
      <c r="E141" s="56" t="s">
        <v>67</v>
      </c>
      <c r="F141" s="56">
        <v>12</v>
      </c>
      <c r="G141" s="56">
        <f ca="1">IFERROR(__xludf.DUMMYFUNCTION("""COMPUTED_VALUE"""),22.7)</f>
        <v>22.7</v>
      </c>
      <c r="H141" s="56">
        <f ca="1">IFERROR(__xludf.DUMMYFUNCTION("""COMPUTED_VALUE"""),35.3)</f>
        <v>35.299999999999997</v>
      </c>
      <c r="I141" s="56">
        <v>652</v>
      </c>
      <c r="J141" s="56">
        <v>0.6</v>
      </c>
      <c r="K141" s="56">
        <v>150</v>
      </c>
      <c r="L141" s="56">
        <v>0.52</v>
      </c>
      <c r="M141" s="56">
        <v>23.120072</v>
      </c>
      <c r="N141" s="56">
        <v>0.02</v>
      </c>
      <c r="O141" s="56">
        <v>49.9</v>
      </c>
      <c r="P141" s="56">
        <f ca="1">IFERROR(__xludf.DUMMYFUNCTION("""COMPUTED_VALUE"""),1.07)</f>
        <v>1.07</v>
      </c>
      <c r="R141" s="56">
        <f ca="1">IFERROR(__xludf.DUMMYFUNCTION("""COMPUTED_VALUE"""),285)</f>
        <v>285</v>
      </c>
      <c r="S141" s="56">
        <f ca="1">IFERROR(__xludf.DUMMYFUNCTION("""COMPUTED_VALUE"""),264)</f>
        <v>264</v>
      </c>
      <c r="T141" s="56">
        <f ca="1">IFERROR(__xludf.DUMMYFUNCTION("""COMPUTED_VALUE"""),134)</f>
        <v>134</v>
      </c>
      <c r="V141" s="56">
        <f t="shared" ca="1" si="6"/>
        <v>274.5</v>
      </c>
      <c r="AD141" s="56">
        <v>4</v>
      </c>
      <c r="AF141" t="str">
        <f ca="1">IFERROR(__xludf.DUMMYFUNCTION("""COMPUTED_VALUE"""),"Open plan")</f>
        <v>Open plan</v>
      </c>
      <c r="AG141" t="str">
        <f ca="1">IFERROR(__xludf.DUMMYFUNCTION("""COMPUTED_VALUE"""),"No")</f>
        <v>No</v>
      </c>
      <c r="AH141" t="str">
        <f ca="1">IFERROR(__xludf.DUMMYFUNCTION("""COMPUTED_VALUE"""),"Yes")</f>
        <v>Yes</v>
      </c>
      <c r="AI141" t="str">
        <f ca="1">IFERROR(__xludf.DUMMYFUNCTION("""COMPUTED_VALUE"""),"Yes")</f>
        <v>Yes</v>
      </c>
      <c r="AJ141" t="str">
        <f ca="1">IFERROR(__xludf.DUMMYFUNCTION("""COMPUTED_VALUE"""),"No")</f>
        <v>No</v>
      </c>
      <c r="AK141">
        <v>0</v>
      </c>
      <c r="AL141"/>
      <c r="AM141" t="str">
        <f ca="1">IFERROR(__xludf.DUMMYFUNCTION("""COMPUTED_VALUE"""),"wood")</f>
        <v>wood</v>
      </c>
      <c r="AN141" t="str">
        <f ca="1">IFERROR(__xludf.DUMMYFUNCTION("""COMPUTED_VALUE"""),"Brown")</f>
        <v>Brown</v>
      </c>
      <c r="AO141" t="str">
        <f ca="1">IFERROR(__xludf.DUMMYFUNCTION("""COMPUTED_VALUE"""),"Office chair")</f>
        <v>Office chair</v>
      </c>
      <c r="AP141" t="str">
        <f ca="1">IFERROR(__xludf.DUMMYFUNCTION("""COMPUTED_VALUE"""),"plastic")</f>
        <v>plastic</v>
      </c>
      <c r="AQ141" t="str">
        <f ca="1">IFERROR(__xludf.DUMMYFUNCTION("""COMPUTED_VALUE"""),"concrete")</f>
        <v>concrete</v>
      </c>
      <c r="AR141" t="str">
        <f ca="1">IFERROR(__xludf.DUMMYFUNCTION("""COMPUTED_VALUE"""),"grey")</f>
        <v>grey</v>
      </c>
      <c r="AS141" t="str">
        <f ca="1">IFERROR(__xludf.DUMMYFUNCTION("""COMPUTED_VALUE"""),"white")</f>
        <v>white</v>
      </c>
      <c r="AT141" t="str">
        <f ca="1">IFERROR(__xludf.DUMMYFUNCTION("""COMPUTED_VALUE"""),"white")</f>
        <v>white</v>
      </c>
      <c r="AU141" t="str">
        <f ca="1">IFERROR(__xludf.DUMMYFUNCTION("""COMPUTED_VALUE"""),"wood")</f>
        <v>wood</v>
      </c>
      <c r="AV141" t="str">
        <f ca="1">IFERROR(__xludf.DUMMYFUNCTION("""COMPUTED_VALUE"""),"No")</f>
        <v>No</v>
      </c>
      <c r="AW141">
        <f ca="1">IFERROR(__xludf.DUMMYFUNCTION("""COMPUTED_VALUE"""),285)</f>
        <v>285</v>
      </c>
      <c r="AX141">
        <f ca="1">IFERROR(__xludf.DUMMYFUNCTION("""COMPUTED_VALUE"""),264)</f>
        <v>264</v>
      </c>
      <c r="AY141">
        <f ca="1">IFERROR(__xludf.DUMMYFUNCTION("""COMPUTED_VALUE"""),134)</f>
        <v>134</v>
      </c>
      <c r="AZ141" t="str">
        <f ca="1">IFERROR(__xludf.DUMMYFUNCTION("""COMPUTED_VALUE"""),"No")</f>
        <v>No</v>
      </c>
      <c r="BA141">
        <f ca="1">IFERROR(__xludf.DUMMYFUNCTION("""COMPUTED_VALUE"""),2.4)</f>
        <v>2.4</v>
      </c>
      <c r="BB141" t="str">
        <f ca="1">IFERROR(__xludf.DUMMYFUNCTION("""COMPUTED_VALUE"""),"NA")</f>
        <v>NA</v>
      </c>
      <c r="BC141" t="str">
        <f ca="1">IFERROR(__xludf.DUMMYFUNCTION("""COMPUTED_VALUE"""),"No")</f>
        <v>No</v>
      </c>
      <c r="BD141">
        <f ca="1">IFERROR(__xludf.DUMMYFUNCTION("""COMPUTED_VALUE"""),3.1)</f>
        <v>3.1</v>
      </c>
      <c r="BE141" t="str">
        <f ca="1">IFERROR(__xludf.DUMMYFUNCTION("""COMPUTED_VALUE"""),"E")</f>
        <v>E</v>
      </c>
      <c r="BF141">
        <f ca="1">IFERROR(__xludf.DUMMYFUNCTION("""COMPUTED_VALUE"""),4.6)</f>
        <v>4.5999999999999996</v>
      </c>
      <c r="BG141" t="str">
        <f ca="1">IFERROR(__xludf.DUMMYFUNCTION("""COMPUTED_VALUE"""),"S")</f>
        <v>S</v>
      </c>
      <c r="BH141">
        <f ca="1">IFERROR(__xludf.DUMMYFUNCTION("""COMPUTED_VALUE"""),2.1)</f>
        <v>2.1</v>
      </c>
      <c r="BI141">
        <f ca="1">IFERROR(__xludf.DUMMYFUNCTION("""COMPUTED_VALUE"""),0.76)</f>
        <v>0.76</v>
      </c>
      <c r="BJ141">
        <f ca="1">IFERROR(__xludf.DUMMYFUNCTION("""COMPUTED_VALUE"""),0.79)</f>
        <v>0.79</v>
      </c>
      <c r="BK141">
        <f ca="1">IFERROR(__xludf.DUMMYFUNCTION("""COMPUTED_VALUE"""),1.07)</f>
        <v>1.07</v>
      </c>
      <c r="BL141">
        <v>2</v>
      </c>
      <c r="BM141">
        <v>3</v>
      </c>
      <c r="BN141">
        <v>4</v>
      </c>
      <c r="BO141">
        <v>2</v>
      </c>
      <c r="BP141">
        <v>3</v>
      </c>
      <c r="BQ141">
        <v>3</v>
      </c>
      <c r="BR141">
        <v>4</v>
      </c>
      <c r="BS141">
        <v>1</v>
      </c>
      <c r="BT141">
        <v>3</v>
      </c>
      <c r="BU141">
        <v>4</v>
      </c>
      <c r="BV141">
        <v>5</v>
      </c>
      <c r="BW141">
        <v>2</v>
      </c>
      <c r="BX141">
        <v>1</v>
      </c>
      <c r="BY141">
        <v>2</v>
      </c>
      <c r="BZ141">
        <v>1</v>
      </c>
      <c r="CA141">
        <v>5</v>
      </c>
      <c r="CB141">
        <v>2</v>
      </c>
      <c r="CC141">
        <v>4</v>
      </c>
      <c r="CD141">
        <v>2</v>
      </c>
      <c r="CE141">
        <v>1</v>
      </c>
      <c r="CF141">
        <v>6</v>
      </c>
      <c r="CG141">
        <v>1</v>
      </c>
      <c r="CH141">
        <v>3</v>
      </c>
      <c r="CI141">
        <v>5</v>
      </c>
      <c r="CJ141">
        <v>3</v>
      </c>
      <c r="CK141">
        <v>3</v>
      </c>
      <c r="CL141">
        <v>3</v>
      </c>
      <c r="CM141">
        <v>1</v>
      </c>
      <c r="CN141" s="100" t="s">
        <v>223</v>
      </c>
      <c r="CO141">
        <v>1</v>
      </c>
      <c r="CP141">
        <v>6</v>
      </c>
      <c r="CQ141">
        <v>6</v>
      </c>
      <c r="CR141">
        <v>1</v>
      </c>
      <c r="CS141">
        <v>1</v>
      </c>
      <c r="CT141">
        <v>7</v>
      </c>
      <c r="CU141">
        <v>4</v>
      </c>
      <c r="CV141">
        <v>2</v>
      </c>
      <c r="CW141">
        <v>3</v>
      </c>
      <c r="CX141" s="100" t="s">
        <v>15</v>
      </c>
      <c r="CY141">
        <v>3</v>
      </c>
      <c r="CZ141">
        <v>1</v>
      </c>
      <c r="DA141">
        <v>2</v>
      </c>
      <c r="DB141">
        <v>2</v>
      </c>
      <c r="DC141">
        <v>4</v>
      </c>
      <c r="DD141">
        <v>4</v>
      </c>
      <c r="DE141">
        <v>3</v>
      </c>
      <c r="DF141">
        <v>3</v>
      </c>
      <c r="DG141">
        <v>5</v>
      </c>
      <c r="DH141" s="100" t="s">
        <v>223</v>
      </c>
      <c r="DI141" s="100" t="s">
        <v>223</v>
      </c>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row>
    <row r="142" spans="1:145" s="56" customFormat="1" ht="14">
      <c r="A142" s="85">
        <v>43873.611932870372</v>
      </c>
      <c r="B142" s="56" t="str">
        <f ca="1">IFERROR(__xludf.DUMMYFUNCTION("""COMPUTED_VALUE"""),"E00340")</f>
        <v>E00340</v>
      </c>
      <c r="C142" s="86">
        <f t="shared" si="7"/>
        <v>141</v>
      </c>
      <c r="D142" s="56" t="s">
        <v>139</v>
      </c>
      <c r="E142" s="56" t="s">
        <v>67</v>
      </c>
      <c r="F142" s="56">
        <v>12</v>
      </c>
      <c r="G142" s="56">
        <f ca="1">IFERROR(__xludf.DUMMYFUNCTION("""COMPUTED_VALUE"""),23.6)</f>
        <v>23.6</v>
      </c>
      <c r="H142" s="56">
        <f ca="1">IFERROR(__xludf.DUMMYFUNCTION("""COMPUTED_VALUE"""),31.2)</f>
        <v>31.2</v>
      </c>
      <c r="I142" s="56">
        <v>685</v>
      </c>
      <c r="J142" s="56">
        <v>0.6</v>
      </c>
      <c r="K142" s="56">
        <v>147</v>
      </c>
      <c r="L142" s="56">
        <v>0.58000000000000007</v>
      </c>
      <c r="M142" s="56">
        <v>23.239459</v>
      </c>
      <c r="N142" s="56">
        <v>0.03</v>
      </c>
      <c r="O142" s="56">
        <v>52</v>
      </c>
      <c r="P142" s="56">
        <v>0</v>
      </c>
      <c r="R142" s="56">
        <f ca="1">IFERROR(__xludf.DUMMYFUNCTION("""COMPUTED_VALUE"""),149)</f>
        <v>149</v>
      </c>
      <c r="S142" s="56">
        <f ca="1">IFERROR(__xludf.DUMMYFUNCTION("""COMPUTED_VALUE"""),135)</f>
        <v>135</v>
      </c>
      <c r="T142" s="56">
        <f ca="1">IFERROR(__xludf.DUMMYFUNCTION("""COMPUTED_VALUE"""),233)</f>
        <v>233</v>
      </c>
      <c r="V142" s="56">
        <f t="shared" ca="1" si="6"/>
        <v>142</v>
      </c>
      <c r="AD142" s="56">
        <v>3</v>
      </c>
      <c r="AF142" t="str">
        <f ca="1">IFERROR(__xludf.DUMMYFUNCTION("""COMPUTED_VALUE"""),"Private")</f>
        <v>Private</v>
      </c>
      <c r="AG142" t="str">
        <f ca="1">IFERROR(__xludf.DUMMYFUNCTION("""COMPUTED_VALUE"""),"No")</f>
        <v>No</v>
      </c>
      <c r="AH142" t="str">
        <f ca="1">IFERROR(__xludf.DUMMYFUNCTION("""COMPUTED_VALUE"""),"Yes")</f>
        <v>Yes</v>
      </c>
      <c r="AI142" t="str">
        <f ca="1">IFERROR(__xludf.DUMMYFUNCTION("""COMPUTED_VALUE"""),"Yes")</f>
        <v>Yes</v>
      </c>
      <c r="AJ142" t="str">
        <f ca="1">IFERROR(__xludf.DUMMYFUNCTION("""COMPUTED_VALUE"""),"Yes")</f>
        <v>Yes</v>
      </c>
      <c r="AK142">
        <v>0</v>
      </c>
      <c r="AL142"/>
      <c r="AM142" t="str">
        <f ca="1">IFERROR(__xludf.DUMMYFUNCTION("""COMPUTED_VALUE"""),"wood")</f>
        <v>wood</v>
      </c>
      <c r="AN142" t="str">
        <f ca="1">IFERROR(__xludf.DUMMYFUNCTION("""COMPUTED_VALUE"""),"loght Brown ")</f>
        <v xml:space="preserve">loght Brown </v>
      </c>
      <c r="AO142" t="str">
        <f ca="1">IFERROR(__xludf.DUMMYFUNCTION("""COMPUTED_VALUE"""),"Office chair")</f>
        <v>Office chair</v>
      </c>
      <c r="AP142" t="str">
        <f ca="1">IFERROR(__xludf.DUMMYFUNCTION("""COMPUTED_VALUE"""),"Cloth")</f>
        <v>Cloth</v>
      </c>
      <c r="AQ142" t="str">
        <f ca="1">IFERROR(__xludf.DUMMYFUNCTION("""COMPUTED_VALUE"""),"concrete ")</f>
        <v xml:space="preserve">concrete </v>
      </c>
      <c r="AR142" t="str">
        <f ca="1">IFERROR(__xludf.DUMMYFUNCTION("""COMPUTED_VALUE"""),"Grey")</f>
        <v>Grey</v>
      </c>
      <c r="AS142" t="str">
        <f ca="1">IFERROR(__xludf.DUMMYFUNCTION("""COMPUTED_VALUE"""),"White")</f>
        <v>White</v>
      </c>
      <c r="AT142" t="str">
        <f ca="1">IFERROR(__xludf.DUMMYFUNCTION("""COMPUTED_VALUE"""),"Wood")</f>
        <v>Wood</v>
      </c>
      <c r="AU142" t="str">
        <f ca="1">IFERROR(__xludf.DUMMYFUNCTION("""COMPUTED_VALUE"""),"NA")</f>
        <v>NA</v>
      </c>
      <c r="AV142" t="str">
        <f ca="1">IFERROR(__xludf.DUMMYFUNCTION("""COMPUTED_VALUE"""),"No")</f>
        <v>No</v>
      </c>
      <c r="AW142">
        <f ca="1">IFERROR(__xludf.DUMMYFUNCTION("""COMPUTED_VALUE"""),149)</f>
        <v>149</v>
      </c>
      <c r="AX142">
        <f ca="1">IFERROR(__xludf.DUMMYFUNCTION("""COMPUTED_VALUE"""),135)</f>
        <v>135</v>
      </c>
      <c r="AY142">
        <f ca="1">IFERROR(__xludf.DUMMYFUNCTION("""COMPUTED_VALUE"""),233)</f>
        <v>233</v>
      </c>
      <c r="AZ142" t="str">
        <f ca="1">IFERROR(__xludf.DUMMYFUNCTION("""COMPUTED_VALUE"""),"No")</f>
        <v>No</v>
      </c>
      <c r="BA142">
        <f ca="1">IFERROR(__xludf.DUMMYFUNCTION("""COMPUTED_VALUE"""),2.4)</f>
        <v>2.4</v>
      </c>
      <c r="BB142">
        <f ca="1">IFERROR(__xludf.DUMMYFUNCTION("""COMPUTED_VALUE"""),1.4)</f>
        <v>1.4</v>
      </c>
      <c r="BC142" t="str">
        <f ca="1">IFERROR(__xludf.DUMMYFUNCTION("""COMPUTED_VALUE"""),"No")</f>
        <v>No</v>
      </c>
      <c r="BD142">
        <f ca="1">IFERROR(__xludf.DUMMYFUNCTION("""COMPUTED_VALUE"""),0.8)</f>
        <v>0.8</v>
      </c>
      <c r="BE142" t="str">
        <f ca="1">IFERROR(__xludf.DUMMYFUNCTION("""COMPUTED_VALUE"""),"W")</f>
        <v>W</v>
      </c>
      <c r="BF142" t="str">
        <f ca="1">IFERROR(__xludf.DUMMYFUNCTION("""COMPUTED_VALUE"""),"NA")</f>
        <v>NA</v>
      </c>
      <c r="BG142" t="str">
        <f ca="1">IFERROR(__xludf.DUMMYFUNCTION("""COMPUTED_VALUE"""),"NA")</f>
        <v>NA</v>
      </c>
      <c r="BH142">
        <f ca="1">IFERROR(__xludf.DUMMYFUNCTION("""COMPUTED_VALUE"""),2.4)</f>
        <v>2.4</v>
      </c>
      <c r="BI142">
        <f ca="1">IFERROR(__xludf.DUMMYFUNCTION("""COMPUTED_VALUE"""),0.6)</f>
        <v>0.6</v>
      </c>
      <c r="BJ142">
        <f ca="1">IFERROR(__xludf.DUMMYFUNCTION("""COMPUTED_VALUE"""),0.74)</f>
        <v>0.74</v>
      </c>
      <c r="BK142" t="str">
        <f ca="1">IFERROR(__xludf.DUMMYFUNCTION("""COMPUTED_VALUE"""),"NA")</f>
        <v>NA</v>
      </c>
      <c r="BL142">
        <v>2</v>
      </c>
      <c r="BM142">
        <v>2</v>
      </c>
      <c r="BN142">
        <v>4</v>
      </c>
      <c r="BO142">
        <v>3</v>
      </c>
      <c r="BP142">
        <v>2</v>
      </c>
      <c r="BQ142">
        <v>5</v>
      </c>
      <c r="BR142">
        <v>4</v>
      </c>
      <c r="BS142">
        <v>2</v>
      </c>
      <c r="BT142">
        <v>3</v>
      </c>
      <c r="BU142">
        <v>4</v>
      </c>
      <c r="BV142">
        <v>4</v>
      </c>
      <c r="BW142">
        <v>3</v>
      </c>
      <c r="BX142">
        <v>3</v>
      </c>
      <c r="BY142">
        <v>3</v>
      </c>
      <c r="BZ142">
        <v>2</v>
      </c>
      <c r="CA142">
        <v>5</v>
      </c>
      <c r="CB142">
        <v>2</v>
      </c>
      <c r="CC142">
        <v>3</v>
      </c>
      <c r="CD142">
        <v>2</v>
      </c>
      <c r="CE142">
        <v>1</v>
      </c>
      <c r="CF142">
        <v>3</v>
      </c>
      <c r="CG142">
        <v>1</v>
      </c>
      <c r="CH142">
        <v>3</v>
      </c>
      <c r="CI142">
        <v>4</v>
      </c>
      <c r="CJ142">
        <v>4</v>
      </c>
      <c r="CK142">
        <v>4</v>
      </c>
      <c r="CL142">
        <v>4</v>
      </c>
      <c r="CM142">
        <v>1</v>
      </c>
      <c r="CN142" s="100" t="s">
        <v>223</v>
      </c>
      <c r="CO142">
        <v>2</v>
      </c>
      <c r="CP142">
        <v>5</v>
      </c>
      <c r="CQ142">
        <v>3</v>
      </c>
      <c r="CR142">
        <v>1</v>
      </c>
      <c r="CS142">
        <v>2</v>
      </c>
      <c r="CT142">
        <v>5</v>
      </c>
      <c r="CU142">
        <v>5</v>
      </c>
      <c r="CV142">
        <v>2</v>
      </c>
      <c r="CW142">
        <v>2</v>
      </c>
      <c r="CX142" s="100" t="s">
        <v>253</v>
      </c>
      <c r="CY142">
        <v>5</v>
      </c>
      <c r="CZ142">
        <v>1</v>
      </c>
      <c r="DA142">
        <v>3</v>
      </c>
      <c r="DB142">
        <v>1</v>
      </c>
      <c r="DC142">
        <v>4</v>
      </c>
      <c r="DD142">
        <v>3</v>
      </c>
      <c r="DE142">
        <v>4</v>
      </c>
      <c r="DF142">
        <v>5</v>
      </c>
      <c r="DG142">
        <v>2</v>
      </c>
      <c r="DH142" s="100" t="s">
        <v>223</v>
      </c>
      <c r="DI142" s="100" t="s">
        <v>223</v>
      </c>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row>
    <row r="143" spans="1:145" ht="14">
      <c r="K143" s="83"/>
      <c r="BL143">
        <v>2</v>
      </c>
      <c r="BM143">
        <v>2</v>
      </c>
      <c r="BN143">
        <v>4</v>
      </c>
      <c r="BO143">
        <v>3</v>
      </c>
      <c r="BP143">
        <v>2</v>
      </c>
      <c r="BQ143">
        <v>5</v>
      </c>
      <c r="BR143">
        <v>3</v>
      </c>
      <c r="BS143">
        <v>3</v>
      </c>
      <c r="BT143">
        <v>3</v>
      </c>
      <c r="BU143">
        <v>2</v>
      </c>
      <c r="BV143">
        <v>2</v>
      </c>
      <c r="BW143">
        <v>2</v>
      </c>
      <c r="BX143">
        <v>1</v>
      </c>
      <c r="BY143">
        <v>3</v>
      </c>
      <c r="BZ143">
        <v>1</v>
      </c>
      <c r="CA143">
        <v>6</v>
      </c>
      <c r="CB143">
        <v>7</v>
      </c>
      <c r="CC143">
        <v>4</v>
      </c>
      <c r="CD143">
        <v>2</v>
      </c>
      <c r="CE143">
        <v>2</v>
      </c>
      <c r="CF143">
        <v>2</v>
      </c>
      <c r="CG143">
        <v>1</v>
      </c>
      <c r="CH143">
        <v>3</v>
      </c>
      <c r="CI143">
        <v>5</v>
      </c>
      <c r="CJ143">
        <v>4</v>
      </c>
      <c r="CK143">
        <v>3</v>
      </c>
      <c r="CL143">
        <v>4</v>
      </c>
      <c r="CM143">
        <v>1</v>
      </c>
      <c r="CN143" s="100" t="s">
        <v>223</v>
      </c>
      <c r="CO143">
        <v>2</v>
      </c>
      <c r="CP143">
        <v>4</v>
      </c>
      <c r="CQ143">
        <v>6</v>
      </c>
      <c r="CR143">
        <v>1</v>
      </c>
      <c r="CS143">
        <v>1</v>
      </c>
      <c r="CT143">
        <v>7</v>
      </c>
      <c r="CU143">
        <v>5</v>
      </c>
      <c r="CV143">
        <v>1</v>
      </c>
      <c r="CW143">
        <v>1</v>
      </c>
      <c r="CX143" s="100" t="s">
        <v>249</v>
      </c>
      <c r="CY143">
        <v>5</v>
      </c>
      <c r="CZ143">
        <v>1</v>
      </c>
      <c r="DA143">
        <v>2</v>
      </c>
      <c r="DB143">
        <v>4</v>
      </c>
      <c r="DC143">
        <v>5</v>
      </c>
      <c r="DD143">
        <v>4</v>
      </c>
      <c r="DE143">
        <v>3</v>
      </c>
      <c r="DF143">
        <v>3</v>
      </c>
      <c r="DG143">
        <v>5</v>
      </c>
      <c r="DH143" s="100" t="s">
        <v>223</v>
      </c>
      <c r="DI143" s="100" t="s">
        <v>223</v>
      </c>
      <c r="DT143"/>
      <c r="DU143"/>
      <c r="DV143"/>
      <c r="DW143"/>
      <c r="DX143"/>
      <c r="DY143"/>
      <c r="DZ143"/>
      <c r="EA143"/>
      <c r="EB143"/>
      <c r="EC143"/>
      <c r="ED143"/>
      <c r="EE143"/>
      <c r="EF143"/>
      <c r="EG143"/>
      <c r="EH143"/>
      <c r="EI143"/>
      <c r="EJ143"/>
      <c r="EK143"/>
      <c r="EL143"/>
      <c r="EM143"/>
      <c r="EN143"/>
      <c r="EO143"/>
    </row>
    <row r="144" spans="1:145">
      <c r="K144" s="83"/>
    </row>
    <row r="145" spans="11:11">
      <c r="K145" s="83"/>
    </row>
    <row r="146" spans="11:11">
      <c r="K146" s="83"/>
    </row>
    <row r="147" spans="11:11">
      <c r="K147" s="83"/>
    </row>
    <row r="148" spans="11:11">
      <c r="K148" s="83"/>
    </row>
    <row r="149" spans="11:11">
      <c r="K149" s="83"/>
    </row>
    <row r="150" spans="11:11">
      <c r="K150" s="83"/>
    </row>
    <row r="151" spans="11:11">
      <c r="K151" s="83"/>
    </row>
    <row r="152" spans="11:11">
      <c r="K152" s="83"/>
    </row>
    <row r="153" spans="11:11">
      <c r="K153" s="83"/>
    </row>
    <row r="154" spans="11:11">
      <c r="K154" s="83"/>
    </row>
    <row r="155" spans="11:11">
      <c r="K155" s="83"/>
    </row>
    <row r="156" spans="11:11">
      <c r="K156" s="83"/>
    </row>
    <row r="157" spans="11:11">
      <c r="K157" s="83"/>
    </row>
    <row r="158" spans="11:11">
      <c r="K158" s="83"/>
    </row>
    <row r="159" spans="11:11">
      <c r="K159" s="83"/>
    </row>
    <row r="160" spans="11:11">
      <c r="K160" s="83"/>
    </row>
    <row r="161" spans="11:11">
      <c r="K161" s="83"/>
    </row>
    <row r="162" spans="11:11">
      <c r="K162" s="83"/>
    </row>
    <row r="163" spans="11:11">
      <c r="K163" s="83"/>
    </row>
    <row r="164" spans="11:11">
      <c r="K164" s="83"/>
    </row>
    <row r="165" spans="11:11">
      <c r="K165" s="83"/>
    </row>
    <row r="166" spans="11:11">
      <c r="K166" s="83"/>
    </row>
    <row r="167" spans="11:11">
      <c r="K167" s="83"/>
    </row>
    <row r="168" spans="11:11">
      <c r="K168" s="83"/>
    </row>
  </sheetData>
  <phoneticPr fontId="0" type="noConversion"/>
  <conditionalFormatting sqref="A96:B142 G96:J142 K96:K168">
    <cfRule type="containsBlanks" dxfId="120" priority="4">
      <formula>LEN(TRIM(A96))=0</formula>
    </cfRule>
  </conditionalFormatting>
  <pageMargins left="0.75" right="0.75" top="1" bottom="1" header="0.5" footer="0.5"/>
  <pageSetup orientation="portrait" verticalDpi="1200"/>
  <headerFooter alignWithMargins="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CCC98-4B1F-554F-8E03-10650231D3D2}">
  <dimension ref="A1:H99"/>
  <sheetViews>
    <sheetView tabSelected="1" topLeftCell="A27" workbookViewId="0">
      <selection activeCell="L66" sqref="L66"/>
    </sheetView>
  </sheetViews>
  <sheetFormatPr baseColWidth="10" defaultRowHeight="13"/>
  <sheetData>
    <row r="1" spans="1:8" ht="42">
      <c r="A1" s="96" t="s">
        <v>3</v>
      </c>
      <c r="B1" s="97" t="s">
        <v>351</v>
      </c>
      <c r="C1" s="97" t="s">
        <v>352</v>
      </c>
      <c r="D1" s="97" t="s">
        <v>353</v>
      </c>
      <c r="E1" s="98" t="s">
        <v>1</v>
      </c>
      <c r="F1" s="98" t="s">
        <v>2</v>
      </c>
      <c r="G1" s="98" t="s">
        <v>354</v>
      </c>
      <c r="H1" s="98" t="s">
        <v>17</v>
      </c>
    </row>
    <row r="2" spans="1:8">
      <c r="A2" s="99" t="s">
        <v>4</v>
      </c>
      <c r="B2" s="99" t="s">
        <v>355</v>
      </c>
      <c r="C2" s="99" t="s">
        <v>356</v>
      </c>
      <c r="D2" s="99"/>
      <c r="E2" s="99" t="s">
        <v>357</v>
      </c>
      <c r="F2" s="99" t="s">
        <v>358</v>
      </c>
      <c r="G2" s="99" t="s">
        <v>359</v>
      </c>
      <c r="H2" s="99"/>
    </row>
    <row r="3" spans="1:8">
      <c r="A3" s="99" t="s">
        <v>4</v>
      </c>
      <c r="B3" s="99" t="s">
        <v>360</v>
      </c>
      <c r="C3" s="99" t="s">
        <v>361</v>
      </c>
      <c r="D3" s="99"/>
      <c r="E3" s="99" t="s">
        <v>362</v>
      </c>
      <c r="F3" s="99" t="s">
        <v>363</v>
      </c>
      <c r="G3" s="99" t="s">
        <v>364</v>
      </c>
      <c r="H3" s="99"/>
    </row>
    <row r="4" spans="1:8">
      <c r="A4" s="99" t="s">
        <v>4</v>
      </c>
      <c r="B4" s="99" t="s">
        <v>365</v>
      </c>
      <c r="C4" s="99"/>
      <c r="D4" s="99"/>
      <c r="E4" s="99"/>
      <c r="F4" s="99" t="s">
        <v>366</v>
      </c>
      <c r="G4" s="99" t="s">
        <v>364</v>
      </c>
      <c r="H4" s="99"/>
    </row>
    <row r="5" spans="1:8">
      <c r="A5" s="99" t="s">
        <v>4</v>
      </c>
      <c r="B5" s="99" t="s">
        <v>0</v>
      </c>
      <c r="C5" s="99"/>
      <c r="D5" s="99"/>
      <c r="E5" s="99" t="s">
        <v>367</v>
      </c>
      <c r="F5" s="99" t="s">
        <v>368</v>
      </c>
      <c r="G5" s="99" t="s">
        <v>369</v>
      </c>
      <c r="H5" s="99"/>
    </row>
    <row r="6" spans="1:8">
      <c r="A6" s="99" t="s">
        <v>4</v>
      </c>
      <c r="B6" s="99" t="s">
        <v>120</v>
      </c>
      <c r="C6" s="99"/>
      <c r="D6" s="99"/>
      <c r="E6" s="99" t="s">
        <v>367</v>
      </c>
      <c r="F6" s="99" t="s">
        <v>370</v>
      </c>
      <c r="G6" s="99" t="s">
        <v>369</v>
      </c>
      <c r="H6" s="99"/>
    </row>
    <row r="7" spans="1:8">
      <c r="A7" s="99" t="s">
        <v>4</v>
      </c>
      <c r="B7" s="99" t="s">
        <v>121</v>
      </c>
      <c r="C7" s="99"/>
      <c r="D7" s="99"/>
      <c r="E7" s="99" t="s">
        <v>367</v>
      </c>
      <c r="F7" s="99" t="s">
        <v>371</v>
      </c>
      <c r="G7" s="99" t="s">
        <v>372</v>
      </c>
      <c r="H7" s="99"/>
    </row>
    <row r="8" spans="1:8">
      <c r="A8" s="99" t="s">
        <v>4</v>
      </c>
      <c r="B8" s="99" t="s">
        <v>122</v>
      </c>
      <c r="C8" s="99"/>
      <c r="D8" s="99"/>
      <c r="E8" s="99" t="s">
        <v>367</v>
      </c>
      <c r="F8" s="99" t="s">
        <v>373</v>
      </c>
      <c r="G8" s="99" t="s">
        <v>372</v>
      </c>
      <c r="H8" s="99"/>
    </row>
    <row r="9" spans="1:8">
      <c r="A9" s="99" t="s">
        <v>4</v>
      </c>
      <c r="B9" s="99" t="s">
        <v>349</v>
      </c>
      <c r="C9" s="99"/>
      <c r="D9" s="99"/>
      <c r="E9" s="99" t="s">
        <v>367</v>
      </c>
      <c r="F9" s="99" t="s">
        <v>374</v>
      </c>
      <c r="G9" s="99" t="s">
        <v>372</v>
      </c>
      <c r="H9" s="99"/>
    </row>
    <row r="10" spans="1:8">
      <c r="A10" s="99" t="s">
        <v>4</v>
      </c>
      <c r="B10" s="99" t="s">
        <v>123</v>
      </c>
      <c r="C10" s="99"/>
      <c r="D10" s="99"/>
      <c r="E10" s="99" t="s">
        <v>367</v>
      </c>
      <c r="F10" s="99" t="s">
        <v>375</v>
      </c>
      <c r="G10" s="99" t="s">
        <v>372</v>
      </c>
      <c r="H10" s="99"/>
    </row>
    <row r="11" spans="1:8">
      <c r="A11" s="99" t="s">
        <v>4</v>
      </c>
      <c r="B11" s="99" t="s">
        <v>124</v>
      </c>
      <c r="C11" s="99"/>
      <c r="D11" s="99"/>
      <c r="E11" s="99" t="s">
        <v>367</v>
      </c>
      <c r="F11" s="99" t="s">
        <v>376</v>
      </c>
      <c r="G11" s="99" t="s">
        <v>377</v>
      </c>
      <c r="H11" s="99"/>
    </row>
    <row r="12" spans="1:8">
      <c r="A12" s="99" t="s">
        <v>4</v>
      </c>
      <c r="B12" s="99" t="s">
        <v>125</v>
      </c>
      <c r="C12" s="99"/>
      <c r="D12" s="99"/>
      <c r="E12" s="99" t="s">
        <v>367</v>
      </c>
      <c r="F12" s="99" t="s">
        <v>378</v>
      </c>
      <c r="G12" s="99" t="s">
        <v>369</v>
      </c>
      <c r="H12" s="99"/>
    </row>
    <row r="13" spans="1:8">
      <c r="A13" s="99" t="s">
        <v>4</v>
      </c>
      <c r="B13" s="99" t="s">
        <v>379</v>
      </c>
      <c r="C13" s="99"/>
      <c r="D13" s="99"/>
      <c r="E13" s="99" t="s">
        <v>367</v>
      </c>
      <c r="F13" s="99" t="s">
        <v>380</v>
      </c>
      <c r="G13" s="99" t="s">
        <v>381</v>
      </c>
      <c r="H13" s="99"/>
    </row>
    <row r="14" spans="1:8">
      <c r="A14" s="99" t="s">
        <v>4</v>
      </c>
      <c r="B14" s="99" t="s">
        <v>127</v>
      </c>
      <c r="C14" s="99"/>
      <c r="D14" s="99"/>
      <c r="E14" s="99" t="s">
        <v>367</v>
      </c>
      <c r="F14" s="99" t="s">
        <v>382</v>
      </c>
      <c r="G14" s="99" t="s">
        <v>383</v>
      </c>
      <c r="H14" s="99"/>
    </row>
    <row r="15" spans="1:8">
      <c r="A15" s="99" t="s">
        <v>4</v>
      </c>
      <c r="B15" s="99" t="s">
        <v>128</v>
      </c>
      <c r="C15" s="99"/>
      <c r="D15" s="99"/>
      <c r="E15" s="99" t="s">
        <v>367</v>
      </c>
      <c r="F15" s="99" t="s">
        <v>384</v>
      </c>
      <c r="G15" s="99" t="s">
        <v>383</v>
      </c>
      <c r="H15" s="99"/>
    </row>
    <row r="16" spans="1:8">
      <c r="A16" s="99" t="s">
        <v>4</v>
      </c>
      <c r="B16" s="99" t="s">
        <v>129</v>
      </c>
      <c r="C16" s="99"/>
      <c r="D16" s="99"/>
      <c r="E16" s="99" t="s">
        <v>367</v>
      </c>
      <c r="F16" s="99" t="s">
        <v>385</v>
      </c>
      <c r="G16" s="99" t="s">
        <v>383</v>
      </c>
      <c r="H16" s="99"/>
    </row>
    <row r="17" spans="1:8">
      <c r="A17" s="99" t="s">
        <v>4</v>
      </c>
      <c r="B17" s="99" t="s">
        <v>386</v>
      </c>
      <c r="C17" s="99"/>
      <c r="D17" s="99"/>
      <c r="E17" s="99" t="s">
        <v>367</v>
      </c>
      <c r="F17" s="99" t="s">
        <v>387</v>
      </c>
      <c r="G17" s="99" t="s">
        <v>383</v>
      </c>
      <c r="H17" s="99"/>
    </row>
    <row r="18" spans="1:8">
      <c r="A18" s="99" t="s">
        <v>4</v>
      </c>
      <c r="B18" s="99" t="s">
        <v>279</v>
      </c>
      <c r="C18" s="99"/>
      <c r="D18" s="99"/>
      <c r="E18" s="99" t="s">
        <v>367</v>
      </c>
      <c r="F18" s="99"/>
      <c r="G18" s="99" t="s">
        <v>383</v>
      </c>
      <c r="H18" s="99"/>
    </row>
    <row r="19" spans="1:8">
      <c r="A19" s="99" t="s">
        <v>4</v>
      </c>
      <c r="B19" s="99" t="s">
        <v>140</v>
      </c>
      <c r="C19" s="99" t="s">
        <v>388</v>
      </c>
      <c r="D19" s="99"/>
      <c r="E19" s="99" t="s">
        <v>389</v>
      </c>
      <c r="F19" s="99" t="s">
        <v>390</v>
      </c>
      <c r="G19" s="99" t="s">
        <v>364</v>
      </c>
      <c r="H19" s="99"/>
    </row>
    <row r="20" spans="1:8">
      <c r="A20" s="99" t="s">
        <v>4</v>
      </c>
      <c r="B20" s="99" t="s">
        <v>141</v>
      </c>
      <c r="C20" s="99" t="s">
        <v>391</v>
      </c>
      <c r="D20" s="99"/>
      <c r="E20" s="99" t="s">
        <v>392</v>
      </c>
      <c r="F20" s="99" t="s">
        <v>393</v>
      </c>
      <c r="G20" s="99" t="s">
        <v>364</v>
      </c>
      <c r="H20" s="99"/>
    </row>
    <row r="21" spans="1:8">
      <c r="A21" s="99" t="s">
        <v>4</v>
      </c>
      <c r="B21" s="99" t="s">
        <v>142</v>
      </c>
      <c r="C21" s="99" t="s">
        <v>394</v>
      </c>
      <c r="D21" s="99"/>
      <c r="E21" s="99" t="s">
        <v>392</v>
      </c>
      <c r="F21" s="99"/>
      <c r="G21" s="99" t="s">
        <v>364</v>
      </c>
      <c r="H21" s="99"/>
    </row>
    <row r="22" spans="1:8">
      <c r="A22" s="99" t="s">
        <v>4</v>
      </c>
      <c r="B22" s="99" t="s">
        <v>143</v>
      </c>
      <c r="C22" s="99" t="s">
        <v>395</v>
      </c>
      <c r="D22" s="99"/>
      <c r="E22" s="99" t="s">
        <v>392</v>
      </c>
      <c r="F22" s="99"/>
      <c r="G22" s="99" t="s">
        <v>364</v>
      </c>
      <c r="H22" s="99"/>
    </row>
    <row r="23" spans="1:8">
      <c r="A23" s="99" t="s">
        <v>4</v>
      </c>
      <c r="B23" s="99" t="s">
        <v>144</v>
      </c>
      <c r="C23" s="99" t="s">
        <v>396</v>
      </c>
      <c r="D23" s="99"/>
      <c r="E23" s="99" t="s">
        <v>392</v>
      </c>
      <c r="F23" s="99"/>
      <c r="G23" s="99" t="s">
        <v>364</v>
      </c>
      <c r="H23" s="99"/>
    </row>
    <row r="24" spans="1:8">
      <c r="A24" s="99" t="s">
        <v>4</v>
      </c>
      <c r="B24" s="99" t="s">
        <v>132</v>
      </c>
      <c r="C24" s="99" t="s">
        <v>397</v>
      </c>
      <c r="D24" s="99"/>
      <c r="E24" s="99" t="s">
        <v>389</v>
      </c>
      <c r="F24" s="99"/>
      <c r="G24" s="99" t="s">
        <v>364</v>
      </c>
      <c r="H24" s="99"/>
    </row>
    <row r="25" spans="1:8">
      <c r="A25" s="99" t="s">
        <v>4</v>
      </c>
      <c r="B25" s="99" t="s">
        <v>398</v>
      </c>
      <c r="C25" s="99" t="s">
        <v>399</v>
      </c>
      <c r="D25" s="99"/>
      <c r="E25" s="99" t="s">
        <v>389</v>
      </c>
      <c r="F25" s="99"/>
      <c r="G25" s="99" t="s">
        <v>364</v>
      </c>
      <c r="H25" s="99"/>
    </row>
    <row r="26" spans="1:8">
      <c r="A26" s="99" t="s">
        <v>4</v>
      </c>
      <c r="B26" s="99" t="s">
        <v>145</v>
      </c>
      <c r="C26" s="99" t="s">
        <v>400</v>
      </c>
      <c r="D26" s="99"/>
      <c r="E26" s="99" t="s">
        <v>389</v>
      </c>
      <c r="F26" s="99" t="s">
        <v>401</v>
      </c>
      <c r="G26" s="99" t="s">
        <v>364</v>
      </c>
      <c r="H26" s="99"/>
    </row>
    <row r="27" spans="1:8">
      <c r="A27" s="99" t="s">
        <v>4</v>
      </c>
      <c r="B27" s="99" t="s">
        <v>146</v>
      </c>
      <c r="C27" s="99" t="s">
        <v>402</v>
      </c>
      <c r="D27" s="99"/>
      <c r="E27" s="99" t="s">
        <v>389</v>
      </c>
      <c r="F27" s="99" t="s">
        <v>403</v>
      </c>
      <c r="G27" s="99" t="s">
        <v>364</v>
      </c>
      <c r="H27" s="99"/>
    </row>
    <row r="28" spans="1:8">
      <c r="A28" s="99" t="s">
        <v>4</v>
      </c>
      <c r="B28" s="99" t="s">
        <v>147</v>
      </c>
      <c r="C28" s="99" t="s">
        <v>404</v>
      </c>
      <c r="D28" s="99"/>
      <c r="E28" s="99" t="s">
        <v>389</v>
      </c>
      <c r="F28" s="99" t="s">
        <v>405</v>
      </c>
      <c r="G28" s="99" t="s">
        <v>364</v>
      </c>
      <c r="H28" s="99"/>
    </row>
    <row r="29" spans="1:8">
      <c r="A29" s="99" t="s">
        <v>4</v>
      </c>
      <c r="B29" s="99" t="s">
        <v>148</v>
      </c>
      <c r="C29" s="99" t="s">
        <v>406</v>
      </c>
      <c r="D29" s="99"/>
      <c r="E29" s="99" t="s">
        <v>389</v>
      </c>
      <c r="F29" s="99" t="s">
        <v>407</v>
      </c>
      <c r="G29" s="99" t="s">
        <v>364</v>
      </c>
      <c r="H29" s="99"/>
    </row>
    <row r="30" spans="1:8">
      <c r="A30" s="99" t="s">
        <v>4</v>
      </c>
      <c r="B30" s="99" t="s">
        <v>149</v>
      </c>
      <c r="C30" s="99" t="s">
        <v>408</v>
      </c>
      <c r="D30" s="99"/>
      <c r="E30" s="99" t="s">
        <v>389</v>
      </c>
      <c r="F30" s="99" t="s">
        <v>409</v>
      </c>
      <c r="G30" s="99" t="s">
        <v>364</v>
      </c>
      <c r="H30" s="99"/>
    </row>
    <row r="31" spans="1:8">
      <c r="A31" s="99" t="s">
        <v>4</v>
      </c>
      <c r="B31" s="99" t="s">
        <v>150</v>
      </c>
      <c r="C31" s="99" t="s">
        <v>410</v>
      </c>
      <c r="D31" s="99"/>
      <c r="E31" s="99" t="s">
        <v>389</v>
      </c>
      <c r="F31" s="99" t="s">
        <v>411</v>
      </c>
      <c r="G31" s="99" t="s">
        <v>364</v>
      </c>
      <c r="H31" s="99"/>
    </row>
    <row r="32" spans="1:8">
      <c r="A32" s="99" t="s">
        <v>4</v>
      </c>
      <c r="B32" s="99" t="s">
        <v>151</v>
      </c>
      <c r="C32" s="99" t="s">
        <v>412</v>
      </c>
      <c r="D32" s="99"/>
      <c r="E32" s="99" t="s">
        <v>389</v>
      </c>
      <c r="F32" s="99" t="s">
        <v>413</v>
      </c>
      <c r="G32" s="99" t="s">
        <v>364</v>
      </c>
      <c r="H32" s="99"/>
    </row>
    <row r="33" spans="1:8">
      <c r="A33" s="99" t="s">
        <v>4</v>
      </c>
      <c r="B33" s="99" t="s">
        <v>152</v>
      </c>
      <c r="C33" s="99" t="s">
        <v>414</v>
      </c>
      <c r="D33" s="99"/>
      <c r="E33" s="99" t="s">
        <v>389</v>
      </c>
      <c r="F33" s="99"/>
      <c r="G33" s="99" t="s">
        <v>364</v>
      </c>
      <c r="H33" s="99"/>
    </row>
    <row r="34" spans="1:8">
      <c r="A34" s="99" t="s">
        <v>4</v>
      </c>
      <c r="B34" s="99" t="s">
        <v>153</v>
      </c>
      <c r="C34" s="99" t="s">
        <v>415</v>
      </c>
      <c r="D34" s="99"/>
      <c r="E34" s="99" t="s">
        <v>389</v>
      </c>
      <c r="F34" s="99"/>
      <c r="G34" s="99" t="s">
        <v>364</v>
      </c>
      <c r="H34" s="99"/>
    </row>
    <row r="35" spans="1:8">
      <c r="A35" s="99" t="s">
        <v>4</v>
      </c>
      <c r="B35" s="99" t="s">
        <v>154</v>
      </c>
      <c r="C35" s="99" t="s">
        <v>416</v>
      </c>
      <c r="D35" s="99"/>
      <c r="E35" s="99" t="s">
        <v>392</v>
      </c>
      <c r="F35" s="99"/>
      <c r="G35" s="99" t="s">
        <v>364</v>
      </c>
      <c r="H35" s="99"/>
    </row>
    <row r="36" spans="1:8">
      <c r="A36" s="99" t="s">
        <v>4</v>
      </c>
      <c r="B36" s="99" t="s">
        <v>134</v>
      </c>
      <c r="C36" s="99" t="s">
        <v>417</v>
      </c>
      <c r="D36" s="99"/>
      <c r="E36" s="99" t="s">
        <v>367</v>
      </c>
      <c r="F36" s="99"/>
      <c r="G36" s="99" t="s">
        <v>418</v>
      </c>
      <c r="H36" s="99"/>
    </row>
    <row r="37" spans="1:8">
      <c r="A37" s="99" t="s">
        <v>4</v>
      </c>
      <c r="B37" s="99" t="s">
        <v>135</v>
      </c>
      <c r="C37" s="99" t="s">
        <v>419</v>
      </c>
      <c r="D37" s="99"/>
      <c r="E37" s="99" t="s">
        <v>367</v>
      </c>
      <c r="F37" s="99" t="s">
        <v>420</v>
      </c>
      <c r="G37" s="99" t="s">
        <v>418</v>
      </c>
      <c r="H37" s="99"/>
    </row>
    <row r="38" spans="1:8">
      <c r="A38" s="99" t="s">
        <v>4</v>
      </c>
      <c r="B38" s="99" t="s">
        <v>136</v>
      </c>
      <c r="C38" s="99" t="s">
        <v>421</v>
      </c>
      <c r="D38" s="99"/>
      <c r="E38" s="99" t="s">
        <v>367</v>
      </c>
      <c r="F38" s="99" t="s">
        <v>422</v>
      </c>
      <c r="G38" s="99" t="s">
        <v>418</v>
      </c>
      <c r="H38" s="99"/>
    </row>
    <row r="39" spans="1:8">
      <c r="A39" s="99" t="s">
        <v>4</v>
      </c>
      <c r="B39" s="99" t="s">
        <v>156</v>
      </c>
      <c r="C39" s="99" t="s">
        <v>423</v>
      </c>
      <c r="D39" s="99"/>
      <c r="E39" s="99" t="s">
        <v>392</v>
      </c>
      <c r="F39" s="99"/>
      <c r="G39" s="99" t="s">
        <v>418</v>
      </c>
      <c r="H39" s="99"/>
    </row>
    <row r="40" spans="1:8">
      <c r="A40" s="99" t="s">
        <v>4</v>
      </c>
      <c r="B40" s="99" t="s">
        <v>157</v>
      </c>
      <c r="C40" s="99" t="s">
        <v>424</v>
      </c>
      <c r="D40" s="99"/>
      <c r="E40" s="99" t="s">
        <v>367</v>
      </c>
      <c r="F40" s="99"/>
      <c r="G40" s="99" t="s">
        <v>425</v>
      </c>
      <c r="H40" s="99"/>
    </row>
    <row r="41" spans="1:8">
      <c r="A41" s="99" t="s">
        <v>4</v>
      </c>
      <c r="B41" s="99" t="s">
        <v>158</v>
      </c>
      <c r="C41" s="99" t="s">
        <v>426</v>
      </c>
      <c r="D41" s="99"/>
      <c r="E41" s="99" t="s">
        <v>367</v>
      </c>
      <c r="F41" s="99" t="s">
        <v>427</v>
      </c>
      <c r="G41" s="99" t="s">
        <v>428</v>
      </c>
      <c r="H41" s="99"/>
    </row>
    <row r="42" spans="1:8">
      <c r="A42" s="99" t="s">
        <v>4</v>
      </c>
      <c r="B42" s="99" t="s">
        <v>159</v>
      </c>
      <c r="C42" s="99" t="s">
        <v>429</v>
      </c>
      <c r="D42" s="99"/>
      <c r="E42" s="99" t="s">
        <v>392</v>
      </c>
      <c r="F42" s="99"/>
      <c r="G42" s="99" t="s">
        <v>364</v>
      </c>
      <c r="H42" s="99"/>
    </row>
    <row r="43" spans="1:8">
      <c r="A43" s="99" t="s">
        <v>4</v>
      </c>
      <c r="B43" s="99" t="s">
        <v>160</v>
      </c>
      <c r="C43" s="99" t="s">
        <v>430</v>
      </c>
      <c r="D43" s="99"/>
      <c r="E43" s="99" t="s">
        <v>367</v>
      </c>
      <c r="F43" s="99" t="s">
        <v>431</v>
      </c>
      <c r="G43" s="99" t="s">
        <v>428</v>
      </c>
      <c r="H43" s="99"/>
    </row>
    <row r="44" spans="1:8">
      <c r="A44" s="99" t="s">
        <v>4</v>
      </c>
      <c r="B44" s="99" t="s">
        <v>161</v>
      </c>
      <c r="C44" s="99" t="s">
        <v>432</v>
      </c>
      <c r="D44" s="99"/>
      <c r="E44" s="99" t="s">
        <v>433</v>
      </c>
      <c r="F44" s="99" t="s">
        <v>434</v>
      </c>
      <c r="G44" s="99" t="s">
        <v>364</v>
      </c>
      <c r="H44" s="99"/>
    </row>
    <row r="45" spans="1:8">
      <c r="A45" s="99" t="s">
        <v>4</v>
      </c>
      <c r="B45" s="99" t="s">
        <v>162</v>
      </c>
      <c r="C45" s="99" t="s">
        <v>435</v>
      </c>
      <c r="D45" s="99"/>
      <c r="E45" s="99" t="s">
        <v>367</v>
      </c>
      <c r="F45" s="99"/>
      <c r="G45" s="99" t="s">
        <v>428</v>
      </c>
      <c r="H45" s="99"/>
    </row>
    <row r="46" spans="1:8">
      <c r="A46" s="99" t="s">
        <v>4</v>
      </c>
      <c r="B46" s="99" t="s">
        <v>163</v>
      </c>
      <c r="C46" s="99" t="s">
        <v>436</v>
      </c>
      <c r="D46" s="99"/>
      <c r="E46" s="99" t="s">
        <v>437</v>
      </c>
      <c r="F46" s="99"/>
      <c r="G46" s="99" t="s">
        <v>364</v>
      </c>
      <c r="H46" s="99"/>
    </row>
    <row r="47" spans="1:8">
      <c r="A47" s="99" t="s">
        <v>4</v>
      </c>
      <c r="B47" s="99" t="s">
        <v>164</v>
      </c>
      <c r="C47" s="99" t="s">
        <v>438</v>
      </c>
      <c r="D47" s="99"/>
      <c r="E47" s="99" t="s">
        <v>367</v>
      </c>
      <c r="F47" s="99" t="s">
        <v>439</v>
      </c>
      <c r="G47" s="99" t="s">
        <v>425</v>
      </c>
      <c r="H47" s="99"/>
    </row>
    <row r="48" spans="1:8">
      <c r="A48" s="99" t="s">
        <v>4</v>
      </c>
      <c r="B48" s="99" t="s">
        <v>165</v>
      </c>
      <c r="C48" s="99" t="s">
        <v>440</v>
      </c>
      <c r="D48" s="99"/>
      <c r="E48" s="99" t="s">
        <v>367</v>
      </c>
      <c r="F48" s="99" t="s">
        <v>441</v>
      </c>
      <c r="G48" s="99" t="s">
        <v>425</v>
      </c>
      <c r="H48" s="99"/>
    </row>
    <row r="49" spans="1:8">
      <c r="A49" s="99" t="s">
        <v>4</v>
      </c>
      <c r="B49" s="99" t="s">
        <v>166</v>
      </c>
      <c r="C49" s="99" t="s">
        <v>442</v>
      </c>
      <c r="D49" s="99"/>
      <c r="E49" s="99" t="s">
        <v>367</v>
      </c>
      <c r="F49" s="99" t="s">
        <v>443</v>
      </c>
      <c r="G49" s="99" t="s">
        <v>425</v>
      </c>
      <c r="H49" s="99"/>
    </row>
    <row r="50" spans="1:8">
      <c r="A50" s="99" t="s">
        <v>4</v>
      </c>
      <c r="B50" s="99" t="s">
        <v>167</v>
      </c>
      <c r="C50" s="99" t="s">
        <v>444</v>
      </c>
      <c r="D50" s="99"/>
      <c r="E50" s="99" t="s">
        <v>367</v>
      </c>
      <c r="F50" s="99"/>
      <c r="G50" s="99" t="s">
        <v>364</v>
      </c>
      <c r="H50" s="99"/>
    </row>
    <row r="51" spans="1:8">
      <c r="A51" s="99" t="s">
        <v>4</v>
      </c>
      <c r="B51" s="99" t="s">
        <v>11</v>
      </c>
      <c r="C51" s="99" t="s">
        <v>445</v>
      </c>
      <c r="D51" s="99" t="s">
        <v>446</v>
      </c>
      <c r="E51" s="99" t="s">
        <v>447</v>
      </c>
      <c r="F51" s="99" t="s">
        <v>448</v>
      </c>
      <c r="G51" s="99" t="s">
        <v>359</v>
      </c>
      <c r="H51" s="99" t="s">
        <v>547</v>
      </c>
    </row>
    <row r="52" spans="1:8">
      <c r="A52" s="99" t="s">
        <v>4</v>
      </c>
      <c r="B52" s="99" t="s">
        <v>6</v>
      </c>
      <c r="C52" s="99" t="s">
        <v>449</v>
      </c>
      <c r="D52" s="99"/>
      <c r="E52" s="99" t="s">
        <v>450</v>
      </c>
      <c r="F52" s="99" t="s">
        <v>451</v>
      </c>
      <c r="G52" s="99" t="s">
        <v>359</v>
      </c>
      <c r="H52" s="99"/>
    </row>
    <row r="53" spans="1:8">
      <c r="A53" s="99" t="s">
        <v>4</v>
      </c>
      <c r="B53" s="99" t="s">
        <v>168</v>
      </c>
      <c r="C53" s="99" t="s">
        <v>452</v>
      </c>
      <c r="D53" s="99"/>
      <c r="E53" s="99" t="s">
        <v>450</v>
      </c>
      <c r="F53" s="99" t="s">
        <v>453</v>
      </c>
      <c r="G53" s="99" t="s">
        <v>359</v>
      </c>
      <c r="H53" s="99"/>
    </row>
    <row r="54" spans="1:8">
      <c r="A54" s="99" t="s">
        <v>4</v>
      </c>
      <c r="B54" s="99" t="s">
        <v>169</v>
      </c>
      <c r="C54" s="99" t="s">
        <v>454</v>
      </c>
      <c r="D54" s="99"/>
      <c r="E54" s="99" t="s">
        <v>455</v>
      </c>
      <c r="F54" s="99" t="s">
        <v>456</v>
      </c>
      <c r="G54" s="99" t="s">
        <v>359</v>
      </c>
      <c r="H54" s="99"/>
    </row>
    <row r="55" spans="1:8">
      <c r="A55" s="99" t="s">
        <v>4</v>
      </c>
      <c r="B55" s="99" t="s">
        <v>170</v>
      </c>
      <c r="C55" s="99" t="s">
        <v>457</v>
      </c>
      <c r="D55" s="99"/>
      <c r="E55" s="99" t="s">
        <v>455</v>
      </c>
      <c r="F55" s="99" t="s">
        <v>458</v>
      </c>
      <c r="G55" s="99" t="s">
        <v>359</v>
      </c>
      <c r="H55" s="99"/>
    </row>
    <row r="56" spans="1:8">
      <c r="A56" s="99" t="s">
        <v>4</v>
      </c>
      <c r="B56" s="99" t="s">
        <v>171</v>
      </c>
      <c r="C56" s="99" t="s">
        <v>459</v>
      </c>
      <c r="D56" s="99"/>
      <c r="E56" s="99" t="s">
        <v>460</v>
      </c>
      <c r="F56" s="99" t="s">
        <v>461</v>
      </c>
      <c r="G56" s="99" t="s">
        <v>359</v>
      </c>
      <c r="H56" s="99"/>
    </row>
    <row r="57" spans="1:8">
      <c r="A57" s="99" t="s">
        <v>4</v>
      </c>
      <c r="B57" s="99" t="s">
        <v>137</v>
      </c>
      <c r="C57" s="99" t="s">
        <v>462</v>
      </c>
      <c r="D57" s="99"/>
      <c r="E57" s="99" t="s">
        <v>460</v>
      </c>
      <c r="F57" s="99" t="s">
        <v>463</v>
      </c>
      <c r="G57" s="99" t="s">
        <v>359</v>
      </c>
      <c r="H57" s="99"/>
    </row>
    <row r="58" spans="1:8">
      <c r="A58" s="99" t="s">
        <v>4</v>
      </c>
      <c r="B58" s="99" t="s">
        <v>172</v>
      </c>
      <c r="C58" s="99" t="s">
        <v>464</v>
      </c>
      <c r="D58" s="99"/>
      <c r="E58" s="99" t="s">
        <v>455</v>
      </c>
      <c r="F58" s="99" t="s">
        <v>465</v>
      </c>
      <c r="G58" s="99" t="s">
        <v>359</v>
      </c>
      <c r="H58" s="99"/>
    </row>
    <row r="59" spans="1:8">
      <c r="A59" s="99" t="s">
        <v>4</v>
      </c>
      <c r="B59" s="99" t="s">
        <v>173</v>
      </c>
      <c r="C59" s="99" t="s">
        <v>466</v>
      </c>
      <c r="D59" s="99"/>
      <c r="E59" s="99" t="s">
        <v>455</v>
      </c>
      <c r="F59" s="99" t="s">
        <v>467</v>
      </c>
      <c r="G59" s="99" t="s">
        <v>359</v>
      </c>
      <c r="H59" s="99"/>
    </row>
    <row r="60" spans="1:8">
      <c r="A60" s="99" t="s">
        <v>4</v>
      </c>
      <c r="B60" s="99" t="s">
        <v>174</v>
      </c>
      <c r="C60" s="99" t="s">
        <v>468</v>
      </c>
      <c r="D60" s="99"/>
      <c r="E60" s="99" t="s">
        <v>460</v>
      </c>
      <c r="F60" s="99" t="s">
        <v>469</v>
      </c>
      <c r="G60" s="99" t="s">
        <v>359</v>
      </c>
      <c r="H60" s="99"/>
    </row>
    <row r="61" spans="1:8">
      <c r="A61" s="99" t="s">
        <v>4</v>
      </c>
      <c r="B61" s="99" t="s">
        <v>175</v>
      </c>
      <c r="C61" s="99" t="s">
        <v>470</v>
      </c>
      <c r="D61" s="99"/>
      <c r="E61" s="99" t="s">
        <v>460</v>
      </c>
      <c r="F61" s="99" t="s">
        <v>471</v>
      </c>
      <c r="G61" s="99" t="s">
        <v>359</v>
      </c>
      <c r="H61" s="99"/>
    </row>
    <row r="62" spans="1:8">
      <c r="A62" s="99" t="s">
        <v>4</v>
      </c>
      <c r="B62" s="99" t="s">
        <v>176</v>
      </c>
      <c r="C62" s="99" t="s">
        <v>472</v>
      </c>
      <c r="D62" s="99"/>
      <c r="E62" s="99" t="s">
        <v>460</v>
      </c>
      <c r="F62" s="99" t="s">
        <v>473</v>
      </c>
      <c r="G62" s="99" t="s">
        <v>359</v>
      </c>
      <c r="H62" s="99"/>
    </row>
    <row r="63" spans="1:8">
      <c r="A63" s="99" t="s">
        <v>4</v>
      </c>
      <c r="B63" s="99" t="s">
        <v>177</v>
      </c>
      <c r="C63" s="99" t="s">
        <v>474</v>
      </c>
      <c r="D63" s="99"/>
      <c r="E63" s="99" t="s">
        <v>450</v>
      </c>
      <c r="F63" s="99" t="s">
        <v>475</v>
      </c>
      <c r="G63" s="99" t="s">
        <v>359</v>
      </c>
      <c r="H63" s="99"/>
    </row>
    <row r="64" spans="1:8">
      <c r="A64" s="99" t="s">
        <v>4</v>
      </c>
      <c r="B64" s="99" t="s">
        <v>178</v>
      </c>
      <c r="C64" s="99" t="s">
        <v>476</v>
      </c>
      <c r="D64" s="99"/>
      <c r="E64" s="99" t="s">
        <v>460</v>
      </c>
      <c r="F64" s="99" t="s">
        <v>477</v>
      </c>
      <c r="G64" s="99" t="s">
        <v>359</v>
      </c>
      <c r="H64" s="99"/>
    </row>
    <row r="65" spans="1:8">
      <c r="A65" s="99" t="s">
        <v>4</v>
      </c>
      <c r="B65" s="99" t="s">
        <v>179</v>
      </c>
      <c r="C65" s="99" t="s">
        <v>478</v>
      </c>
      <c r="D65" s="99"/>
      <c r="E65" s="99" t="s">
        <v>460</v>
      </c>
      <c r="F65" s="99" t="s">
        <v>479</v>
      </c>
      <c r="G65" s="99" t="s">
        <v>359</v>
      </c>
      <c r="H65" s="99"/>
    </row>
    <row r="66" spans="1:8">
      <c r="A66" s="99" t="s">
        <v>4</v>
      </c>
      <c r="B66" s="99" t="s">
        <v>180</v>
      </c>
      <c r="C66" s="99" t="s">
        <v>480</v>
      </c>
      <c r="D66" s="99"/>
      <c r="E66" s="99" t="s">
        <v>460</v>
      </c>
      <c r="F66" s="99" t="s">
        <v>481</v>
      </c>
      <c r="G66" s="99" t="s">
        <v>359</v>
      </c>
      <c r="H66" s="99"/>
    </row>
    <row r="67" spans="1:8">
      <c r="A67" s="99" t="s">
        <v>4</v>
      </c>
      <c r="B67" s="99" t="s">
        <v>8</v>
      </c>
      <c r="C67" s="99" t="s">
        <v>482</v>
      </c>
      <c r="D67" s="99"/>
      <c r="E67" s="99" t="s">
        <v>460</v>
      </c>
      <c r="F67" s="99" t="s">
        <v>483</v>
      </c>
      <c r="G67" s="99" t="s">
        <v>359</v>
      </c>
      <c r="H67" s="99"/>
    </row>
    <row r="68" spans="1:8">
      <c r="A68" s="99" t="s">
        <v>4</v>
      </c>
      <c r="B68" s="99" t="s">
        <v>181</v>
      </c>
      <c r="C68" s="99" t="s">
        <v>484</v>
      </c>
      <c r="D68" s="99"/>
      <c r="E68" s="99" t="s">
        <v>460</v>
      </c>
      <c r="F68" s="99" t="s">
        <v>485</v>
      </c>
      <c r="G68" s="99" t="s">
        <v>359</v>
      </c>
      <c r="H68" s="99"/>
    </row>
    <row r="69" spans="1:8">
      <c r="A69" s="99" t="s">
        <v>4</v>
      </c>
      <c r="B69" s="99" t="s">
        <v>182</v>
      </c>
      <c r="C69" s="99" t="s">
        <v>486</v>
      </c>
      <c r="D69" s="99"/>
      <c r="E69" s="99" t="s">
        <v>447</v>
      </c>
      <c r="F69" s="99" t="s">
        <v>487</v>
      </c>
      <c r="G69" s="99" t="s">
        <v>359</v>
      </c>
      <c r="H69" s="99"/>
    </row>
    <row r="70" spans="1:8">
      <c r="A70" s="99" t="s">
        <v>4</v>
      </c>
      <c r="B70" s="99" t="s">
        <v>183</v>
      </c>
      <c r="C70" s="99" t="s">
        <v>474</v>
      </c>
      <c r="D70" s="99"/>
      <c r="E70" s="99" t="s">
        <v>447</v>
      </c>
      <c r="F70" s="99" t="s">
        <v>488</v>
      </c>
      <c r="G70" s="99" t="s">
        <v>359</v>
      </c>
      <c r="H70" s="99"/>
    </row>
    <row r="71" spans="1:8">
      <c r="A71" s="99" t="s">
        <v>4</v>
      </c>
      <c r="B71" s="99" t="s">
        <v>184</v>
      </c>
      <c r="C71" s="99" t="s">
        <v>489</v>
      </c>
      <c r="D71" s="99"/>
      <c r="E71" s="99" t="s">
        <v>460</v>
      </c>
      <c r="F71" s="99" t="s">
        <v>490</v>
      </c>
      <c r="G71" s="99" t="s">
        <v>359</v>
      </c>
      <c r="H71" s="99"/>
    </row>
    <row r="72" spans="1:8">
      <c r="A72" s="99" t="s">
        <v>4</v>
      </c>
      <c r="B72" s="99" t="s">
        <v>185</v>
      </c>
      <c r="C72" s="99" t="s">
        <v>491</v>
      </c>
      <c r="D72" s="99"/>
      <c r="E72" s="99" t="s">
        <v>447</v>
      </c>
      <c r="F72" s="99" t="s">
        <v>492</v>
      </c>
      <c r="G72" s="99" t="s">
        <v>359</v>
      </c>
      <c r="H72" s="99"/>
    </row>
    <row r="73" spans="1:8">
      <c r="A73" s="99" t="s">
        <v>4</v>
      </c>
      <c r="B73" s="99" t="s">
        <v>7</v>
      </c>
      <c r="C73" s="99" t="s">
        <v>493</v>
      </c>
      <c r="D73" s="99"/>
      <c r="E73" s="99" t="s">
        <v>455</v>
      </c>
      <c r="F73" s="99" t="s">
        <v>494</v>
      </c>
      <c r="G73" s="99" t="s">
        <v>359</v>
      </c>
      <c r="H73" s="99"/>
    </row>
    <row r="74" spans="1:8">
      <c r="A74" s="99" t="s">
        <v>4</v>
      </c>
      <c r="B74" s="99" t="s">
        <v>10</v>
      </c>
      <c r="C74" s="99" t="s">
        <v>495</v>
      </c>
      <c r="D74" s="99"/>
      <c r="E74" s="99" t="s">
        <v>460</v>
      </c>
      <c r="F74" s="99" t="s">
        <v>496</v>
      </c>
      <c r="G74" s="99" t="s">
        <v>359</v>
      </c>
      <c r="H74" s="99"/>
    </row>
    <row r="75" spans="1:8">
      <c r="A75" s="99" t="s">
        <v>4</v>
      </c>
      <c r="B75" s="99" t="s">
        <v>186</v>
      </c>
      <c r="C75" s="99" t="s">
        <v>497</v>
      </c>
      <c r="D75" s="99"/>
      <c r="E75" s="99" t="s">
        <v>460</v>
      </c>
      <c r="F75" s="99" t="s">
        <v>498</v>
      </c>
      <c r="G75" s="99" t="s">
        <v>359</v>
      </c>
      <c r="H75" s="99"/>
    </row>
    <row r="76" spans="1:8">
      <c r="A76" s="99" t="s">
        <v>4</v>
      </c>
      <c r="B76" s="99" t="s">
        <v>187</v>
      </c>
      <c r="C76" s="99" t="s">
        <v>499</v>
      </c>
      <c r="D76" s="99"/>
      <c r="E76" s="99" t="s">
        <v>460</v>
      </c>
      <c r="F76" s="99" t="s">
        <v>500</v>
      </c>
      <c r="G76" s="99" t="s">
        <v>359</v>
      </c>
      <c r="H76" s="99"/>
    </row>
    <row r="77" spans="1:8">
      <c r="A77" s="99" t="s">
        <v>4</v>
      </c>
      <c r="B77" s="99" t="s">
        <v>188</v>
      </c>
      <c r="C77" s="99" t="s">
        <v>501</v>
      </c>
      <c r="D77" s="99"/>
      <c r="E77" s="99" t="s">
        <v>460</v>
      </c>
      <c r="F77" s="99" t="s">
        <v>502</v>
      </c>
      <c r="G77" s="99" t="s">
        <v>359</v>
      </c>
      <c r="H77" s="99"/>
    </row>
    <row r="78" spans="1:8">
      <c r="A78" s="99" t="s">
        <v>4</v>
      </c>
      <c r="B78" s="99" t="s">
        <v>189</v>
      </c>
      <c r="C78" s="99" t="s">
        <v>464</v>
      </c>
      <c r="D78" s="99"/>
      <c r="E78" s="99" t="s">
        <v>503</v>
      </c>
      <c r="F78" s="99" t="s">
        <v>504</v>
      </c>
      <c r="G78" s="99" t="s">
        <v>359</v>
      </c>
      <c r="H78" s="99"/>
    </row>
    <row r="79" spans="1:8">
      <c r="A79" s="99" t="s">
        <v>4</v>
      </c>
      <c r="B79" s="99" t="s">
        <v>190</v>
      </c>
      <c r="C79" s="99" t="s">
        <v>505</v>
      </c>
      <c r="D79" s="99"/>
      <c r="E79" s="99" t="s">
        <v>389</v>
      </c>
      <c r="F79" s="99" t="s">
        <v>506</v>
      </c>
      <c r="G79" s="99" t="s">
        <v>359</v>
      </c>
      <c r="H79" s="99"/>
    </row>
    <row r="80" spans="1:8">
      <c r="A80" s="99" t="s">
        <v>4</v>
      </c>
      <c r="B80" s="99" t="s">
        <v>191</v>
      </c>
      <c r="C80" s="99" t="s">
        <v>507</v>
      </c>
      <c r="D80" s="99"/>
      <c r="E80" s="99" t="s">
        <v>450</v>
      </c>
      <c r="F80" s="99" t="s">
        <v>508</v>
      </c>
      <c r="G80" s="99" t="s">
        <v>359</v>
      </c>
      <c r="H80" s="99"/>
    </row>
    <row r="81" spans="1:8">
      <c r="A81" s="99" t="s">
        <v>4</v>
      </c>
      <c r="B81" s="99" t="s">
        <v>192</v>
      </c>
      <c r="C81" s="99" t="s">
        <v>509</v>
      </c>
      <c r="D81" s="99"/>
      <c r="E81" s="99" t="s">
        <v>460</v>
      </c>
      <c r="F81" s="99" t="s">
        <v>510</v>
      </c>
      <c r="G81" s="99" t="s">
        <v>359</v>
      </c>
      <c r="H81" s="99"/>
    </row>
    <row r="82" spans="1:8">
      <c r="A82" s="99" t="s">
        <v>4</v>
      </c>
      <c r="B82" s="99" t="s">
        <v>193</v>
      </c>
      <c r="C82" s="99" t="s">
        <v>511</v>
      </c>
      <c r="D82" s="99"/>
      <c r="E82" s="99" t="s">
        <v>460</v>
      </c>
      <c r="F82" s="99" t="s">
        <v>512</v>
      </c>
      <c r="G82" s="99" t="s">
        <v>359</v>
      </c>
      <c r="H82" s="99"/>
    </row>
    <row r="83" spans="1:8">
      <c r="A83" s="99" t="s">
        <v>4</v>
      </c>
      <c r="B83" s="99" t="s">
        <v>194</v>
      </c>
      <c r="C83" s="99" t="s">
        <v>513</v>
      </c>
      <c r="D83" s="99"/>
      <c r="E83" s="99" t="s">
        <v>447</v>
      </c>
      <c r="F83" s="99" t="s">
        <v>514</v>
      </c>
      <c r="G83" s="99" t="s">
        <v>359</v>
      </c>
      <c r="H83" s="99"/>
    </row>
    <row r="84" spans="1:8">
      <c r="A84" s="99" t="s">
        <v>4</v>
      </c>
      <c r="B84" s="99" t="s">
        <v>195</v>
      </c>
      <c r="C84" s="99" t="s">
        <v>515</v>
      </c>
      <c r="D84" s="99"/>
      <c r="E84" s="99" t="s">
        <v>455</v>
      </c>
      <c r="F84" s="99" t="s">
        <v>516</v>
      </c>
      <c r="G84" s="99" t="s">
        <v>359</v>
      </c>
      <c r="H84" s="99"/>
    </row>
    <row r="85" spans="1:8">
      <c r="A85" s="99" t="s">
        <v>4</v>
      </c>
      <c r="B85" s="99" t="s">
        <v>196</v>
      </c>
      <c r="C85" s="99" t="s">
        <v>517</v>
      </c>
      <c r="D85" s="99"/>
      <c r="E85" s="99" t="s">
        <v>460</v>
      </c>
      <c r="F85" s="99" t="s">
        <v>518</v>
      </c>
      <c r="G85" s="99" t="s">
        <v>359</v>
      </c>
      <c r="H85" s="99"/>
    </row>
    <row r="86" spans="1:8">
      <c r="A86" s="99" t="s">
        <v>4</v>
      </c>
      <c r="B86" s="99" t="s">
        <v>197</v>
      </c>
      <c r="C86" s="99" t="s">
        <v>519</v>
      </c>
      <c r="D86" s="99"/>
      <c r="E86" s="99" t="s">
        <v>460</v>
      </c>
      <c r="F86" s="99" t="s">
        <v>520</v>
      </c>
      <c r="G86" s="99" t="s">
        <v>359</v>
      </c>
      <c r="H86" s="99"/>
    </row>
    <row r="87" spans="1:8">
      <c r="A87" s="99" t="s">
        <v>4</v>
      </c>
      <c r="B87" s="99" t="s">
        <v>198</v>
      </c>
      <c r="C87" s="99" t="s">
        <v>521</v>
      </c>
      <c r="D87" s="99"/>
      <c r="E87" s="99" t="s">
        <v>455</v>
      </c>
      <c r="F87" s="99" t="s">
        <v>522</v>
      </c>
      <c r="G87" s="99" t="s">
        <v>359</v>
      </c>
      <c r="H87" s="99"/>
    </row>
    <row r="88" spans="1:8">
      <c r="A88" s="99" t="s">
        <v>4</v>
      </c>
      <c r="B88" s="99" t="s">
        <v>199</v>
      </c>
      <c r="C88" s="99" t="s">
        <v>523</v>
      </c>
      <c r="D88" s="99"/>
      <c r="E88" s="99" t="s">
        <v>455</v>
      </c>
      <c r="F88" s="99" t="s">
        <v>524</v>
      </c>
      <c r="G88" s="99" t="s">
        <v>359</v>
      </c>
      <c r="H88" s="99"/>
    </row>
    <row r="89" spans="1:8">
      <c r="A89" s="99" t="s">
        <v>4</v>
      </c>
      <c r="B89" s="99" t="s">
        <v>200</v>
      </c>
      <c r="C89" s="99" t="s">
        <v>525</v>
      </c>
      <c r="D89" s="99"/>
      <c r="E89" s="99" t="s">
        <v>526</v>
      </c>
      <c r="F89" s="99" t="s">
        <v>527</v>
      </c>
      <c r="G89" s="99" t="s">
        <v>359</v>
      </c>
      <c r="H89" s="99"/>
    </row>
    <row r="90" spans="1:8">
      <c r="A90" s="99" t="s">
        <v>4</v>
      </c>
      <c r="B90" s="99" t="s">
        <v>9</v>
      </c>
      <c r="C90" s="99" t="s">
        <v>528</v>
      </c>
      <c r="D90" s="99"/>
      <c r="E90" s="99" t="s">
        <v>460</v>
      </c>
      <c r="F90" s="99" t="s">
        <v>529</v>
      </c>
      <c r="G90" s="99" t="s">
        <v>359</v>
      </c>
      <c r="H90" s="99"/>
    </row>
    <row r="91" spans="1:8">
      <c r="A91" s="99" t="s">
        <v>4</v>
      </c>
      <c r="B91" s="99" t="s">
        <v>201</v>
      </c>
      <c r="C91" s="99" t="s">
        <v>530</v>
      </c>
      <c r="D91" s="99"/>
      <c r="E91" s="99" t="s">
        <v>447</v>
      </c>
      <c r="F91" s="99" t="s">
        <v>531</v>
      </c>
      <c r="G91" s="99" t="s">
        <v>359</v>
      </c>
      <c r="H91" s="99"/>
    </row>
    <row r="92" spans="1:8">
      <c r="A92" s="99" t="s">
        <v>4</v>
      </c>
      <c r="B92" s="99" t="s">
        <v>202</v>
      </c>
      <c r="C92" s="99" t="s">
        <v>532</v>
      </c>
      <c r="D92" s="99"/>
      <c r="E92" s="99" t="s">
        <v>455</v>
      </c>
      <c r="F92" s="99" t="s">
        <v>533</v>
      </c>
      <c r="G92" s="99" t="s">
        <v>359</v>
      </c>
      <c r="H92" s="99"/>
    </row>
    <row r="93" spans="1:8">
      <c r="A93" s="99" t="s">
        <v>4</v>
      </c>
      <c r="B93" s="99" t="s">
        <v>203</v>
      </c>
      <c r="C93" s="99" t="s">
        <v>534</v>
      </c>
      <c r="D93" s="99"/>
      <c r="E93" s="99" t="s">
        <v>450</v>
      </c>
      <c r="F93" s="99" t="s">
        <v>535</v>
      </c>
      <c r="G93" s="99" t="s">
        <v>359</v>
      </c>
      <c r="H93" s="99"/>
    </row>
    <row r="94" spans="1:8">
      <c r="A94" s="99" t="s">
        <v>4</v>
      </c>
      <c r="B94" s="99" t="s">
        <v>204</v>
      </c>
      <c r="C94" s="99" t="s">
        <v>536</v>
      </c>
      <c r="D94" s="99"/>
      <c r="E94" s="99" t="s">
        <v>460</v>
      </c>
      <c r="F94" s="99" t="s">
        <v>537</v>
      </c>
      <c r="G94" s="99" t="s">
        <v>359</v>
      </c>
      <c r="H94" s="99"/>
    </row>
    <row r="95" spans="1:8">
      <c r="A95" s="99" t="s">
        <v>4</v>
      </c>
      <c r="B95" s="99" t="s">
        <v>205</v>
      </c>
      <c r="C95" s="99" t="s">
        <v>501</v>
      </c>
      <c r="D95" s="99"/>
      <c r="E95" s="99" t="s">
        <v>503</v>
      </c>
      <c r="F95" s="99" t="s">
        <v>538</v>
      </c>
      <c r="G95" s="99" t="s">
        <v>359</v>
      </c>
      <c r="H95" s="99"/>
    </row>
    <row r="96" spans="1:8">
      <c r="A96" s="99" t="s">
        <v>4</v>
      </c>
      <c r="B96" s="99" t="s">
        <v>206</v>
      </c>
      <c r="C96" s="99" t="s">
        <v>489</v>
      </c>
      <c r="D96" s="99"/>
      <c r="E96" s="99" t="s">
        <v>460</v>
      </c>
      <c r="F96" s="99" t="s">
        <v>539</v>
      </c>
      <c r="G96" s="99" t="s">
        <v>359</v>
      </c>
      <c r="H96" s="99"/>
    </row>
    <row r="97" spans="1:8">
      <c r="A97" s="99" t="s">
        <v>4</v>
      </c>
      <c r="B97" s="99" t="s">
        <v>207</v>
      </c>
      <c r="C97" s="99" t="s">
        <v>540</v>
      </c>
      <c r="D97" s="99"/>
      <c r="E97" s="99" t="s">
        <v>460</v>
      </c>
      <c r="F97" s="99" t="s">
        <v>541</v>
      </c>
      <c r="G97" s="99" t="s">
        <v>359</v>
      </c>
      <c r="H97" s="99"/>
    </row>
    <row r="98" spans="1:8">
      <c r="A98" s="99" t="s">
        <v>4</v>
      </c>
      <c r="B98" s="99" t="s">
        <v>208</v>
      </c>
      <c r="C98" s="99" t="s">
        <v>542</v>
      </c>
      <c r="D98" s="99"/>
      <c r="E98" s="99" t="s">
        <v>543</v>
      </c>
      <c r="F98" s="99" t="s">
        <v>544</v>
      </c>
      <c r="G98" s="99" t="s">
        <v>359</v>
      </c>
      <c r="H98" s="99"/>
    </row>
    <row r="99" spans="1:8">
      <c r="A99" s="99" t="s">
        <v>4</v>
      </c>
      <c r="B99" s="99" t="s">
        <v>209</v>
      </c>
      <c r="C99" s="99" t="s">
        <v>545</v>
      </c>
      <c r="D99" s="99"/>
      <c r="E99" s="99" t="s">
        <v>389</v>
      </c>
      <c r="F99" s="99" t="s">
        <v>546</v>
      </c>
      <c r="G99" s="99" t="s">
        <v>359</v>
      </c>
      <c r="H99" s="99"/>
    </row>
  </sheetData>
  <conditionalFormatting sqref="A2:A99 B2:B54 C2:H99">
    <cfRule type="expression" dxfId="119" priority="1">
      <formula>$G2= "Tape Measurer"</formula>
    </cfRule>
  </conditionalFormatting>
  <conditionalFormatting sqref="A2:A99 B2:B54 C2:H99">
    <cfRule type="expression" dxfId="118" priority="2">
      <formula>$G2="Bosch Laser"</formula>
    </cfRule>
  </conditionalFormatting>
  <conditionalFormatting sqref="A2:A99 B2:B54 C2:H99">
    <cfRule type="expression" dxfId="117" priority="3">
      <formula>$G2="Manual"</formula>
    </cfRule>
  </conditionalFormatting>
  <conditionalFormatting sqref="A2:A99 B2:B54 C2:H99">
    <cfRule type="expression" dxfId="116" priority="4">
      <formula>$G2="Light Meter"</formula>
    </cfRule>
  </conditionalFormatting>
  <conditionalFormatting sqref="A2:A99 B2:B54 C2:H99">
    <cfRule type="expression" dxfId="115" priority="5">
      <formula>$G2="RICOH Theta"</formula>
    </cfRule>
  </conditionalFormatting>
  <conditionalFormatting sqref="A2:A99 B2:B54 C2:H99">
    <cfRule type="expression" dxfId="114" priority="6">
      <formula>$G2="SoundPro"</formula>
    </cfRule>
  </conditionalFormatting>
  <conditionalFormatting sqref="A2:A99 B2:B54 C2:H99">
    <cfRule type="expression" dxfId="113" priority="7">
      <formula>$G2="Velocicalc"</formula>
    </cfRule>
  </conditionalFormatting>
  <conditionalFormatting sqref="A2:A99 B2:B54 C2:H99">
    <cfRule type="expression" dxfId="112" priority="8">
      <formula>$G2="Cube"</formula>
    </cfRule>
  </conditionalFormatting>
  <conditionalFormatting sqref="A2:A99 B2:B54 C2:H99">
    <cfRule type="expression" dxfId="111" priority="9">
      <formula>$G2="Graywolf"</formula>
    </cfRule>
  </conditionalFormatting>
  <conditionalFormatting sqref="A2:A99 B2:B54 C2:H99">
    <cfRule type="expression" dxfId="110" priority="10">
      <formula>$G2="Survey"</formula>
    </cfRule>
  </conditionalFormatting>
  <conditionalFormatting sqref="B55">
    <cfRule type="expression" dxfId="109" priority="11">
      <formula>$G54= "Tape Measurer"</formula>
    </cfRule>
  </conditionalFormatting>
  <conditionalFormatting sqref="B55">
    <cfRule type="expression" dxfId="108" priority="12">
      <formula>$G54="Bosch Laser"</formula>
    </cfRule>
  </conditionalFormatting>
  <conditionalFormatting sqref="B55">
    <cfRule type="expression" dxfId="107" priority="13">
      <formula>$G54="Manual"</formula>
    </cfRule>
  </conditionalFormatting>
  <conditionalFormatting sqref="B55">
    <cfRule type="expression" dxfId="106" priority="14">
      <formula>$G54="Light Meter"</formula>
    </cfRule>
  </conditionalFormatting>
  <conditionalFormatting sqref="B55">
    <cfRule type="expression" dxfId="105" priority="15">
      <formula>$G54="RICOH Theta"</formula>
    </cfRule>
  </conditionalFormatting>
  <conditionalFormatting sqref="B55">
    <cfRule type="expression" dxfId="104" priority="16">
      <formula>$G54="SoundPro"</formula>
    </cfRule>
  </conditionalFormatting>
  <conditionalFormatting sqref="B55">
    <cfRule type="expression" dxfId="103" priority="17">
      <formula>$G54="Velocicalc"</formula>
    </cfRule>
  </conditionalFormatting>
  <conditionalFormatting sqref="B55">
    <cfRule type="expression" dxfId="102" priority="18">
      <formula>$G54="Cube"</formula>
    </cfRule>
  </conditionalFormatting>
  <conditionalFormatting sqref="B55">
    <cfRule type="expression" dxfId="101" priority="19">
      <formula>$G54="Graywolf"</formula>
    </cfRule>
  </conditionalFormatting>
  <conditionalFormatting sqref="B55">
    <cfRule type="expression" dxfId="100" priority="20">
      <formula>$G54="Survey"</formula>
    </cfRule>
  </conditionalFormatting>
  <conditionalFormatting sqref="B56:B58 B60:B65">
    <cfRule type="expression" dxfId="99" priority="21">
      <formula>$G87= "Tape Measurer"</formula>
    </cfRule>
  </conditionalFormatting>
  <conditionalFormatting sqref="B56:B58 B60:B65">
    <cfRule type="expression" dxfId="98" priority="22">
      <formula>$G87="Bosch Laser"</formula>
    </cfRule>
  </conditionalFormatting>
  <conditionalFormatting sqref="B56:B58 B60:B65">
    <cfRule type="expression" dxfId="97" priority="23">
      <formula>$G87="Manual"</formula>
    </cfRule>
  </conditionalFormatting>
  <conditionalFormatting sqref="B56:B58 B60:B65">
    <cfRule type="expression" dxfId="96" priority="24">
      <formula>$G87="Light Meter"</formula>
    </cfRule>
  </conditionalFormatting>
  <conditionalFormatting sqref="B56:B58 B60:B65">
    <cfRule type="expression" dxfId="95" priority="25">
      <formula>$G87="RICOH Theta"</formula>
    </cfRule>
  </conditionalFormatting>
  <conditionalFormatting sqref="B56:B58 B60:B65">
    <cfRule type="expression" dxfId="94" priority="26">
      <formula>$G87="SoundPro"</formula>
    </cfRule>
  </conditionalFormatting>
  <conditionalFormatting sqref="B56:B58 B60:B65">
    <cfRule type="expression" dxfId="93" priority="27">
      <formula>$G87="Velocicalc"</formula>
    </cfRule>
  </conditionalFormatting>
  <conditionalFormatting sqref="B56:B58 B60:B65">
    <cfRule type="expression" dxfId="92" priority="28">
      <formula>$G87="Cube"</formula>
    </cfRule>
  </conditionalFormatting>
  <conditionalFormatting sqref="B56:B58 B60:B65">
    <cfRule type="expression" dxfId="91" priority="29">
      <formula>$G87="Graywolf"</formula>
    </cfRule>
  </conditionalFormatting>
  <conditionalFormatting sqref="B56:B58 B60:B65">
    <cfRule type="expression" dxfId="90" priority="30">
      <formula>$G87="Survey"</formula>
    </cfRule>
  </conditionalFormatting>
  <conditionalFormatting sqref="B59">
    <cfRule type="expression" dxfId="89" priority="31">
      <formula>$G89= "Tape Measurer"</formula>
    </cfRule>
  </conditionalFormatting>
  <conditionalFormatting sqref="B59">
    <cfRule type="expression" dxfId="88" priority="32">
      <formula>$G89="Bosch Laser"</formula>
    </cfRule>
  </conditionalFormatting>
  <conditionalFormatting sqref="B59">
    <cfRule type="expression" dxfId="87" priority="33">
      <formula>$G89="Manual"</formula>
    </cfRule>
  </conditionalFormatting>
  <conditionalFormatting sqref="B59">
    <cfRule type="expression" dxfId="86" priority="34">
      <formula>$G89="Light Meter"</formula>
    </cfRule>
  </conditionalFormatting>
  <conditionalFormatting sqref="B59">
    <cfRule type="expression" dxfId="85" priority="35">
      <formula>$G89="RICOH Theta"</formula>
    </cfRule>
  </conditionalFormatting>
  <conditionalFormatting sqref="B59">
    <cfRule type="expression" dxfId="84" priority="36">
      <formula>$G89="SoundPro"</formula>
    </cfRule>
  </conditionalFormatting>
  <conditionalFormatting sqref="B59">
    <cfRule type="expression" dxfId="83" priority="37">
      <formula>$G89="Velocicalc"</formula>
    </cfRule>
  </conditionalFormatting>
  <conditionalFormatting sqref="B59">
    <cfRule type="expression" dxfId="82" priority="38">
      <formula>$G89="Cube"</formula>
    </cfRule>
  </conditionalFormatting>
  <conditionalFormatting sqref="B59">
    <cfRule type="expression" dxfId="81" priority="39">
      <formula>$G89="Graywolf"</formula>
    </cfRule>
  </conditionalFormatting>
  <conditionalFormatting sqref="B59">
    <cfRule type="expression" dxfId="80" priority="40">
      <formula>$G89="Survey"</formula>
    </cfRule>
  </conditionalFormatting>
  <conditionalFormatting sqref="B66:B70 B74:B76">
    <cfRule type="expression" dxfId="79" priority="41">
      <formula>$G55= "Tape Measurer"</formula>
    </cfRule>
  </conditionalFormatting>
  <conditionalFormatting sqref="B66:B70 B74:B76">
    <cfRule type="expression" dxfId="78" priority="42">
      <formula>$G55="Bosch Laser"</formula>
    </cfRule>
  </conditionalFormatting>
  <conditionalFormatting sqref="B66:B70 B74:B76">
    <cfRule type="expression" dxfId="77" priority="43">
      <formula>$G55="Manual"</formula>
    </cfRule>
  </conditionalFormatting>
  <conditionalFormatting sqref="B66:B70 B74:B76">
    <cfRule type="expression" dxfId="76" priority="44">
      <formula>$G55="Light Meter"</formula>
    </cfRule>
  </conditionalFormatting>
  <conditionalFormatting sqref="B66:B70 B74:B76">
    <cfRule type="expression" dxfId="75" priority="45">
      <formula>$G55="RICOH Theta"</formula>
    </cfRule>
  </conditionalFormatting>
  <conditionalFormatting sqref="B66:B70 B74:B76">
    <cfRule type="expression" dxfId="74" priority="46">
      <formula>$G55="SoundPro"</formula>
    </cfRule>
  </conditionalFormatting>
  <conditionalFormatting sqref="B66:B70 B74:B76">
    <cfRule type="expression" dxfId="73" priority="47">
      <formula>$G55="Velocicalc"</formula>
    </cfRule>
  </conditionalFormatting>
  <conditionalFormatting sqref="B66:B70 B74:B76">
    <cfRule type="expression" dxfId="72" priority="48">
      <formula>$G55="Cube"</formula>
    </cfRule>
  </conditionalFormatting>
  <conditionalFormatting sqref="B66:B70 B74:B76">
    <cfRule type="expression" dxfId="71" priority="49">
      <formula>$G55="Graywolf"</formula>
    </cfRule>
  </conditionalFormatting>
  <conditionalFormatting sqref="B66:B70 B74:B76">
    <cfRule type="expression" dxfId="70" priority="50">
      <formula>$G55="Survey"</formula>
    </cfRule>
  </conditionalFormatting>
  <conditionalFormatting sqref="B71">
    <cfRule type="expression" dxfId="69" priority="51">
      <formula>$G59= "Tape Measurer"</formula>
    </cfRule>
  </conditionalFormatting>
  <conditionalFormatting sqref="B71">
    <cfRule type="expression" dxfId="68" priority="52">
      <formula>$G59="Bosch Laser"</formula>
    </cfRule>
  </conditionalFormatting>
  <conditionalFormatting sqref="B71">
    <cfRule type="expression" dxfId="67" priority="53">
      <formula>$G59="Manual"</formula>
    </cfRule>
  </conditionalFormatting>
  <conditionalFormatting sqref="B71">
    <cfRule type="expression" dxfId="66" priority="54">
      <formula>$G59="Light Meter"</formula>
    </cfRule>
  </conditionalFormatting>
  <conditionalFormatting sqref="B71">
    <cfRule type="expression" dxfId="65" priority="55">
      <formula>$G59="RICOH Theta"</formula>
    </cfRule>
  </conditionalFormatting>
  <conditionalFormatting sqref="B71">
    <cfRule type="expression" dxfId="64" priority="56">
      <formula>$G59="SoundPro"</formula>
    </cfRule>
  </conditionalFormatting>
  <conditionalFormatting sqref="B71">
    <cfRule type="expression" dxfId="63" priority="57">
      <formula>$G59="Velocicalc"</formula>
    </cfRule>
  </conditionalFormatting>
  <conditionalFormatting sqref="B71">
    <cfRule type="expression" dxfId="62" priority="58">
      <formula>$G59="Cube"</formula>
    </cfRule>
  </conditionalFormatting>
  <conditionalFormatting sqref="B71">
    <cfRule type="expression" dxfId="61" priority="59">
      <formula>$G59="Graywolf"</formula>
    </cfRule>
  </conditionalFormatting>
  <conditionalFormatting sqref="B71">
    <cfRule type="expression" dxfId="60" priority="60">
      <formula>$G59="Survey"</formula>
    </cfRule>
  </conditionalFormatting>
  <conditionalFormatting sqref="B73">
    <cfRule type="expression" dxfId="59" priority="61">
      <formula>$G60= "Tape Measurer"</formula>
    </cfRule>
  </conditionalFormatting>
  <conditionalFormatting sqref="B73">
    <cfRule type="expression" dxfId="58" priority="62">
      <formula>$G60="Bosch Laser"</formula>
    </cfRule>
  </conditionalFormatting>
  <conditionalFormatting sqref="B73">
    <cfRule type="expression" dxfId="57" priority="63">
      <formula>$G60="Manual"</formula>
    </cfRule>
  </conditionalFormatting>
  <conditionalFormatting sqref="B73">
    <cfRule type="expression" dxfId="56" priority="64">
      <formula>$G60="Light Meter"</formula>
    </cfRule>
  </conditionalFormatting>
  <conditionalFormatting sqref="B73">
    <cfRule type="expression" dxfId="55" priority="65">
      <formula>$G60="RICOH Theta"</formula>
    </cfRule>
  </conditionalFormatting>
  <conditionalFormatting sqref="B73">
    <cfRule type="expression" dxfId="54" priority="66">
      <formula>$G60="SoundPro"</formula>
    </cfRule>
  </conditionalFormatting>
  <conditionalFormatting sqref="B73">
    <cfRule type="expression" dxfId="53" priority="67">
      <formula>$G60="Velocicalc"</formula>
    </cfRule>
  </conditionalFormatting>
  <conditionalFormatting sqref="B73">
    <cfRule type="expression" dxfId="52" priority="68">
      <formula>$G60="Cube"</formula>
    </cfRule>
  </conditionalFormatting>
  <conditionalFormatting sqref="B73">
    <cfRule type="expression" dxfId="51" priority="69">
      <formula>$G60="Graywolf"</formula>
    </cfRule>
  </conditionalFormatting>
  <conditionalFormatting sqref="B73">
    <cfRule type="expression" dxfId="50" priority="70">
      <formula>$G60="Survey"</formula>
    </cfRule>
  </conditionalFormatting>
  <conditionalFormatting sqref="B72">
    <cfRule type="expression" dxfId="49" priority="71">
      <formula>$G61= "Tape Measurer"</formula>
    </cfRule>
  </conditionalFormatting>
  <conditionalFormatting sqref="B72">
    <cfRule type="expression" dxfId="48" priority="72">
      <formula>$G61="Bosch Laser"</formula>
    </cfRule>
  </conditionalFormatting>
  <conditionalFormatting sqref="B72">
    <cfRule type="expression" dxfId="47" priority="73">
      <formula>$G61="Manual"</formula>
    </cfRule>
  </conditionalFormatting>
  <conditionalFormatting sqref="B72">
    <cfRule type="expression" dxfId="46" priority="74">
      <formula>$G61="Light Meter"</formula>
    </cfRule>
  </conditionalFormatting>
  <conditionalFormatting sqref="B72">
    <cfRule type="expression" dxfId="45" priority="75">
      <formula>$G61="RICOH Theta"</formula>
    </cfRule>
  </conditionalFormatting>
  <conditionalFormatting sqref="B72">
    <cfRule type="expression" dxfId="44" priority="76">
      <formula>$G61="SoundPro"</formula>
    </cfRule>
  </conditionalFormatting>
  <conditionalFormatting sqref="B72">
    <cfRule type="expression" dxfId="43" priority="77">
      <formula>$G61="Velocicalc"</formula>
    </cfRule>
  </conditionalFormatting>
  <conditionalFormatting sqref="B72">
    <cfRule type="expression" dxfId="42" priority="78">
      <formula>$G61="Cube"</formula>
    </cfRule>
  </conditionalFormatting>
  <conditionalFormatting sqref="B72">
    <cfRule type="expression" dxfId="41" priority="79">
      <formula>$G61="Graywolf"</formula>
    </cfRule>
  </conditionalFormatting>
  <conditionalFormatting sqref="B72">
    <cfRule type="expression" dxfId="40" priority="80">
      <formula>$G61="Survey"</formula>
    </cfRule>
  </conditionalFormatting>
  <conditionalFormatting sqref="B77:B79">
    <cfRule type="expression" dxfId="39" priority="81">
      <formula>$G67= "Tape Measurer"</formula>
    </cfRule>
  </conditionalFormatting>
  <conditionalFormatting sqref="B77:B79">
    <cfRule type="expression" dxfId="38" priority="82">
      <formula>$G67="Bosch Laser"</formula>
    </cfRule>
  </conditionalFormatting>
  <conditionalFormatting sqref="B77:B79">
    <cfRule type="expression" dxfId="37" priority="83">
      <formula>$G67="Manual"</formula>
    </cfRule>
  </conditionalFormatting>
  <conditionalFormatting sqref="B77:B79">
    <cfRule type="expression" dxfId="36" priority="84">
      <formula>$G67="Light Meter"</formula>
    </cfRule>
  </conditionalFormatting>
  <conditionalFormatting sqref="B77:B79">
    <cfRule type="expression" dxfId="35" priority="85">
      <formula>$G67="RICOH Theta"</formula>
    </cfRule>
  </conditionalFormatting>
  <conditionalFormatting sqref="B77:B79">
    <cfRule type="expression" dxfId="34" priority="86">
      <formula>$G67="SoundPro"</formula>
    </cfRule>
  </conditionalFormatting>
  <conditionalFormatting sqref="B77:B79">
    <cfRule type="expression" dxfId="33" priority="87">
      <formula>$G67="Velocicalc"</formula>
    </cfRule>
  </conditionalFormatting>
  <conditionalFormatting sqref="B77:B79">
    <cfRule type="expression" dxfId="32" priority="88">
      <formula>$G67="Cube"</formula>
    </cfRule>
  </conditionalFormatting>
  <conditionalFormatting sqref="B77:B79">
    <cfRule type="expression" dxfId="31" priority="89">
      <formula>$G67="Graywolf"</formula>
    </cfRule>
  </conditionalFormatting>
  <conditionalFormatting sqref="B77:B79">
    <cfRule type="expression" dxfId="30" priority="90">
      <formula>$G67="Survey"</formula>
    </cfRule>
  </conditionalFormatting>
  <conditionalFormatting sqref="B80:B84">
    <cfRule type="expression" dxfId="29" priority="91">
      <formula>$G74= "Tape Measurer"</formula>
    </cfRule>
  </conditionalFormatting>
  <conditionalFormatting sqref="B80:B84">
    <cfRule type="expression" dxfId="28" priority="92">
      <formula>$G74="Bosch Laser"</formula>
    </cfRule>
  </conditionalFormatting>
  <conditionalFormatting sqref="B80:B84">
    <cfRule type="expression" dxfId="27" priority="93">
      <formula>$G74="Manual"</formula>
    </cfRule>
  </conditionalFormatting>
  <conditionalFormatting sqref="B80:B84">
    <cfRule type="expression" dxfId="26" priority="94">
      <formula>$G74="Light Meter"</formula>
    </cfRule>
  </conditionalFormatting>
  <conditionalFormatting sqref="B80:B84">
    <cfRule type="expression" dxfId="25" priority="95">
      <formula>$G74="RICOH Theta"</formula>
    </cfRule>
  </conditionalFormatting>
  <conditionalFormatting sqref="B80:B84">
    <cfRule type="expression" dxfId="24" priority="96">
      <formula>$G74="SoundPro"</formula>
    </cfRule>
  </conditionalFormatting>
  <conditionalFormatting sqref="B80:B84">
    <cfRule type="expression" dxfId="23" priority="97">
      <formula>$G74="Velocicalc"</formula>
    </cfRule>
  </conditionalFormatting>
  <conditionalFormatting sqref="B80:B84">
    <cfRule type="expression" dxfId="22" priority="98">
      <formula>$G74="Cube"</formula>
    </cfRule>
  </conditionalFormatting>
  <conditionalFormatting sqref="B80:B84">
    <cfRule type="expression" dxfId="21" priority="99">
      <formula>$G74="Graywolf"</formula>
    </cfRule>
  </conditionalFormatting>
  <conditionalFormatting sqref="B80:B84">
    <cfRule type="expression" dxfId="20" priority="100">
      <formula>$G74="Survey"</formula>
    </cfRule>
  </conditionalFormatting>
  <conditionalFormatting sqref="B85:B87">
    <cfRule type="expression" dxfId="19" priority="101">
      <formula>$G78= "Tape Measurer"</formula>
    </cfRule>
  </conditionalFormatting>
  <conditionalFormatting sqref="B85:B87">
    <cfRule type="expression" dxfId="18" priority="102">
      <formula>$G78="Bosch Laser"</formula>
    </cfRule>
  </conditionalFormatting>
  <conditionalFormatting sqref="B85:B87">
    <cfRule type="expression" dxfId="17" priority="103">
      <formula>$G78="Manual"</formula>
    </cfRule>
  </conditionalFormatting>
  <conditionalFormatting sqref="B85:B87">
    <cfRule type="expression" dxfId="16" priority="104">
      <formula>$G78="Light Meter"</formula>
    </cfRule>
  </conditionalFormatting>
  <conditionalFormatting sqref="B85:B87">
    <cfRule type="expression" dxfId="15" priority="105">
      <formula>$G78="RICOH Theta"</formula>
    </cfRule>
  </conditionalFormatting>
  <conditionalFormatting sqref="B85:B87">
    <cfRule type="expression" dxfId="14" priority="106">
      <formula>$G78="SoundPro"</formula>
    </cfRule>
  </conditionalFormatting>
  <conditionalFormatting sqref="B85:B87">
    <cfRule type="expression" dxfId="13" priority="107">
      <formula>$G78="Velocicalc"</formula>
    </cfRule>
  </conditionalFormatting>
  <conditionalFormatting sqref="B85:B87">
    <cfRule type="expression" dxfId="12" priority="108">
      <formula>$G78="Cube"</formula>
    </cfRule>
  </conditionalFormatting>
  <conditionalFormatting sqref="B85:B87">
    <cfRule type="expression" dxfId="11" priority="109">
      <formula>$G78="Graywolf"</formula>
    </cfRule>
  </conditionalFormatting>
  <conditionalFormatting sqref="B85:B87">
    <cfRule type="expression" dxfId="10" priority="110">
      <formula>$G78="Survey"</formula>
    </cfRule>
  </conditionalFormatting>
  <conditionalFormatting sqref="B88:B99">
    <cfRule type="expression" dxfId="9" priority="111">
      <formula>$G82= "Tape Measurer"</formula>
    </cfRule>
  </conditionalFormatting>
  <conditionalFormatting sqref="B88:B99">
    <cfRule type="expression" dxfId="8" priority="112">
      <formula>$G82="Bosch Laser"</formula>
    </cfRule>
  </conditionalFormatting>
  <conditionalFormatting sqref="B88:B99">
    <cfRule type="expression" dxfId="7" priority="113">
      <formula>$G82="Manual"</formula>
    </cfRule>
  </conditionalFormatting>
  <conditionalFormatting sqref="B88:B99">
    <cfRule type="expression" dxfId="6" priority="114">
      <formula>$G82="Light Meter"</formula>
    </cfRule>
  </conditionalFormatting>
  <conditionalFormatting sqref="B88:B99">
    <cfRule type="expression" dxfId="5" priority="115">
      <formula>$G82="RICOH Theta"</formula>
    </cfRule>
  </conditionalFormatting>
  <conditionalFormatting sqref="B88:B99">
    <cfRule type="expression" dxfId="4" priority="116">
      <formula>$G82="SoundPro"</formula>
    </cfRule>
  </conditionalFormatting>
  <conditionalFormatting sqref="B88:B99">
    <cfRule type="expression" dxfId="3" priority="117">
      <formula>$G82="Velocicalc"</formula>
    </cfRule>
  </conditionalFormatting>
  <conditionalFormatting sqref="B88:B99">
    <cfRule type="expression" dxfId="2" priority="118">
      <formula>$G82="Cube"</formula>
    </cfRule>
  </conditionalFormatting>
  <conditionalFormatting sqref="B88:B99">
    <cfRule type="expression" dxfId="1" priority="119">
      <formula>$G82="Graywolf"</formula>
    </cfRule>
  </conditionalFormatting>
  <conditionalFormatting sqref="B88:B99">
    <cfRule type="expression" dxfId="0" priority="120">
      <formula>$G82="Survey"</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alldata</vt:lpstr>
      <vt:lpstr>vars</vt:lpstr>
    </vt:vector>
  </TitlesOfParts>
  <Company>NRC-IRC-M24</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Clint Marquardt</dc:creator>
  <cp:lastModifiedBy>Sarah Crosby</cp:lastModifiedBy>
  <cp:lastPrinted>2003-04-02T20:51:50Z</cp:lastPrinted>
  <dcterms:created xsi:type="dcterms:W3CDTF">2000-06-23T17:51:33Z</dcterms:created>
  <dcterms:modified xsi:type="dcterms:W3CDTF">2021-04-15T19:26:47Z</dcterms:modified>
</cp:coreProperties>
</file>